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f33c756dbeab2f7/Documents/"/>
    </mc:Choice>
  </mc:AlternateContent>
  <xr:revisionPtr revIDLastSave="23" documentId="8_{E1EEF28E-6DC1-4CDF-9B64-23CB969E1552}" xr6:coauthVersionLast="47" xr6:coauthVersionMax="47" xr10:uidLastSave="{FA38D51F-087A-4781-B148-4AEF6E63B08B}"/>
  <bookViews>
    <workbookView xWindow="-120" yWindow="-120" windowWidth="57840" windowHeight="15720" tabRatio="500" xr2:uid="{00000000-000D-0000-FFFF-FFFF00000000}"/>
  </bookViews>
  <sheets>
    <sheet name="Assumptions" sheetId="1" r:id="rId1"/>
    <sheet name="P&amp;L" sheetId="2" r:id="rId2"/>
    <sheet name="Cash_Flow" sheetId="3" r:id="rId3"/>
    <sheet name="Balance_Sheet" sheetId="4" r:id="rId4"/>
    <sheet name="Checks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4" l="1"/>
  <c r="C8" i="4"/>
  <c r="D31" i="4"/>
  <c r="E31" i="4" s="1"/>
  <c r="F31" i="4" s="1"/>
  <c r="G31" i="4" s="1"/>
  <c r="H31" i="4" s="1"/>
  <c r="I31" i="4" s="1"/>
  <c r="J31" i="4" s="1"/>
  <c r="K31" i="4" s="1"/>
  <c r="L31" i="4" s="1"/>
  <c r="M31" i="4" s="1"/>
  <c r="N31" i="4" s="1"/>
  <c r="D8" i="4"/>
  <c r="E8" i="4" s="1"/>
  <c r="F8" i="4" s="1"/>
  <c r="G8" i="4" s="1"/>
  <c r="H8" i="4" s="1"/>
  <c r="I8" i="4" s="1"/>
  <c r="J8" i="4" s="1"/>
  <c r="K8" i="4" s="1"/>
  <c r="L8" i="4" s="1"/>
  <c r="M8" i="4" s="1"/>
  <c r="N8" i="4" s="1"/>
  <c r="O49" i="3"/>
  <c r="C49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N42" i="3"/>
  <c r="N43" i="3" s="1"/>
  <c r="M42" i="3"/>
  <c r="M43" i="3" s="1"/>
  <c r="L42" i="3"/>
  <c r="L43" i="3" s="1"/>
  <c r="K42" i="3"/>
  <c r="K43" i="3" s="1"/>
  <c r="J42" i="3"/>
  <c r="J43" i="3" s="1"/>
  <c r="I42" i="3"/>
  <c r="I43" i="3" s="1"/>
  <c r="H42" i="3"/>
  <c r="H43" i="3" s="1"/>
  <c r="G42" i="3"/>
  <c r="G43" i="3" s="1"/>
  <c r="F42" i="3"/>
  <c r="F43" i="3" s="1"/>
  <c r="E42" i="3"/>
  <c r="E43" i="3" s="1"/>
  <c r="D42" i="3"/>
  <c r="D43" i="3" s="1"/>
  <c r="C42" i="3"/>
  <c r="O22" i="3"/>
  <c r="C22" i="3"/>
  <c r="N19" i="3"/>
  <c r="M19" i="3"/>
  <c r="L19" i="3"/>
  <c r="K19" i="3"/>
  <c r="O19" i="3" s="1"/>
  <c r="J19" i="3"/>
  <c r="I19" i="3"/>
  <c r="H19" i="3"/>
  <c r="G19" i="3"/>
  <c r="F19" i="3"/>
  <c r="E19" i="3"/>
  <c r="D19" i="3"/>
  <c r="C19" i="3"/>
  <c r="N15" i="3"/>
  <c r="N16" i="3" s="1"/>
  <c r="M15" i="3"/>
  <c r="M16" i="3" s="1"/>
  <c r="L15" i="3"/>
  <c r="L16" i="3" s="1"/>
  <c r="K15" i="3"/>
  <c r="K16" i="3" s="1"/>
  <c r="J15" i="3"/>
  <c r="J16" i="3" s="1"/>
  <c r="I15" i="3"/>
  <c r="I16" i="3" s="1"/>
  <c r="H15" i="3"/>
  <c r="H16" i="3" s="1"/>
  <c r="G15" i="3"/>
  <c r="G16" i="3" s="1"/>
  <c r="F15" i="3"/>
  <c r="F16" i="3" s="1"/>
  <c r="E15" i="3"/>
  <c r="E16" i="3" s="1"/>
  <c r="D15" i="3"/>
  <c r="D16" i="3" s="1"/>
  <c r="C15" i="3"/>
  <c r="N90" i="2"/>
  <c r="M90" i="2"/>
  <c r="L90" i="2"/>
  <c r="K90" i="2"/>
  <c r="J90" i="2"/>
  <c r="I90" i="2"/>
  <c r="H90" i="2"/>
  <c r="G90" i="2"/>
  <c r="F90" i="2"/>
  <c r="E90" i="2"/>
  <c r="D90" i="2"/>
  <c r="C90" i="2"/>
  <c r="N88" i="2"/>
  <c r="M88" i="2"/>
  <c r="L88" i="2"/>
  <c r="K88" i="2"/>
  <c r="J88" i="2"/>
  <c r="I88" i="2"/>
  <c r="H88" i="2"/>
  <c r="G88" i="2"/>
  <c r="F88" i="2"/>
  <c r="E88" i="2"/>
  <c r="D88" i="2"/>
  <c r="C88" i="2"/>
  <c r="N86" i="2"/>
  <c r="M86" i="2"/>
  <c r="L86" i="2"/>
  <c r="K86" i="2"/>
  <c r="J86" i="2"/>
  <c r="I86" i="2"/>
  <c r="H86" i="2"/>
  <c r="G86" i="2"/>
  <c r="F86" i="2"/>
  <c r="E86" i="2"/>
  <c r="D86" i="2"/>
  <c r="C86" i="2"/>
  <c r="N82" i="2"/>
  <c r="N33" i="3" s="1"/>
  <c r="M82" i="2"/>
  <c r="M33" i="3" s="1"/>
  <c r="L82" i="2"/>
  <c r="L33" i="3" s="1"/>
  <c r="K82" i="2"/>
  <c r="K33" i="3" s="1"/>
  <c r="J82" i="2"/>
  <c r="J33" i="3" s="1"/>
  <c r="I82" i="2"/>
  <c r="I33" i="3" s="1"/>
  <c r="H82" i="2"/>
  <c r="H33" i="3" s="1"/>
  <c r="G82" i="2"/>
  <c r="G33" i="3" s="1"/>
  <c r="F82" i="2"/>
  <c r="F33" i="3" s="1"/>
  <c r="E82" i="2"/>
  <c r="E33" i="3" s="1"/>
  <c r="D82" i="2"/>
  <c r="D33" i="3" s="1"/>
  <c r="C82" i="2"/>
  <c r="N77" i="2"/>
  <c r="M77" i="2"/>
  <c r="O77" i="2" s="1"/>
  <c r="L77" i="2"/>
  <c r="K77" i="2"/>
  <c r="J77" i="2"/>
  <c r="I77" i="2"/>
  <c r="H77" i="2"/>
  <c r="G77" i="2"/>
  <c r="F77" i="2"/>
  <c r="E77" i="2"/>
  <c r="D77" i="2"/>
  <c r="C77" i="2"/>
  <c r="N66" i="2"/>
  <c r="M66" i="2"/>
  <c r="L66" i="2"/>
  <c r="K66" i="2"/>
  <c r="J66" i="2"/>
  <c r="I66" i="2"/>
  <c r="H66" i="2"/>
  <c r="G66" i="2"/>
  <c r="F66" i="2"/>
  <c r="E66" i="2"/>
  <c r="D66" i="2"/>
  <c r="C66" i="2"/>
  <c r="N63" i="2"/>
  <c r="M63" i="2"/>
  <c r="L63" i="2"/>
  <c r="K63" i="2"/>
  <c r="J63" i="2"/>
  <c r="I63" i="2"/>
  <c r="H63" i="2"/>
  <c r="G63" i="2"/>
  <c r="F63" i="2"/>
  <c r="E63" i="2"/>
  <c r="D63" i="2"/>
  <c r="C63" i="2"/>
  <c r="N61" i="2"/>
  <c r="M61" i="2"/>
  <c r="L61" i="2"/>
  <c r="K61" i="2"/>
  <c r="J61" i="2"/>
  <c r="I61" i="2"/>
  <c r="H61" i="2"/>
  <c r="G61" i="2"/>
  <c r="F61" i="2"/>
  <c r="E61" i="2"/>
  <c r="D61" i="2"/>
  <c r="C61" i="2"/>
  <c r="N60" i="2"/>
  <c r="N62" i="2" s="1"/>
  <c r="N64" i="2" s="1"/>
  <c r="M60" i="2"/>
  <c r="M62" i="2" s="1"/>
  <c r="M64" i="2" s="1"/>
  <c r="L60" i="2"/>
  <c r="L62" i="2" s="1"/>
  <c r="L64" i="2" s="1"/>
  <c r="K60" i="2"/>
  <c r="K62" i="2" s="1"/>
  <c r="K64" i="2" s="1"/>
  <c r="J60" i="2"/>
  <c r="J62" i="2" s="1"/>
  <c r="I60" i="2"/>
  <c r="I62" i="2" s="1"/>
  <c r="H60" i="2"/>
  <c r="H62" i="2" s="1"/>
  <c r="G60" i="2"/>
  <c r="G62" i="2" s="1"/>
  <c r="F60" i="2"/>
  <c r="F62" i="2" s="1"/>
  <c r="E60" i="2"/>
  <c r="E62" i="2" s="1"/>
  <c r="D60" i="2"/>
  <c r="C60" i="2"/>
  <c r="N56" i="2"/>
  <c r="M56" i="2"/>
  <c r="L56" i="2"/>
  <c r="K56" i="2"/>
  <c r="J56" i="2"/>
  <c r="I56" i="2"/>
  <c r="H56" i="2"/>
  <c r="G56" i="2"/>
  <c r="F56" i="2"/>
  <c r="E56" i="2"/>
  <c r="D56" i="2"/>
  <c r="C56" i="2"/>
  <c r="N54" i="2"/>
  <c r="M54" i="2"/>
  <c r="L54" i="2"/>
  <c r="K54" i="2"/>
  <c r="J54" i="2"/>
  <c r="I54" i="2"/>
  <c r="H54" i="2"/>
  <c r="G54" i="2"/>
  <c r="F54" i="2"/>
  <c r="E54" i="2"/>
  <c r="D54" i="2"/>
  <c r="C54" i="2"/>
  <c r="N53" i="2"/>
  <c r="N55" i="2" s="1"/>
  <c r="N57" i="2" s="1"/>
  <c r="M53" i="2"/>
  <c r="M55" i="2" s="1"/>
  <c r="M57" i="2" s="1"/>
  <c r="L53" i="2"/>
  <c r="L55" i="2" s="1"/>
  <c r="L57" i="2" s="1"/>
  <c r="K53" i="2"/>
  <c r="K55" i="2" s="1"/>
  <c r="K57" i="2" s="1"/>
  <c r="J53" i="2"/>
  <c r="J55" i="2" s="1"/>
  <c r="J57" i="2" s="1"/>
  <c r="I53" i="2"/>
  <c r="I55" i="2" s="1"/>
  <c r="I57" i="2" s="1"/>
  <c r="H53" i="2"/>
  <c r="H55" i="2" s="1"/>
  <c r="H57" i="2" s="1"/>
  <c r="G53" i="2"/>
  <c r="G55" i="2" s="1"/>
  <c r="G57" i="2" s="1"/>
  <c r="F53" i="2"/>
  <c r="F55" i="2" s="1"/>
  <c r="F57" i="2" s="1"/>
  <c r="E53" i="2"/>
  <c r="E55" i="2" s="1"/>
  <c r="E57" i="2" s="1"/>
  <c r="D53" i="2"/>
  <c r="D55" i="2" s="1"/>
  <c r="D57" i="2" s="1"/>
  <c r="C53" i="2"/>
  <c r="C55" i="2" s="1"/>
  <c r="C57" i="2" s="1"/>
  <c r="N42" i="2"/>
  <c r="M42" i="2"/>
  <c r="L42" i="2"/>
  <c r="K42" i="2"/>
  <c r="J42" i="2"/>
  <c r="I42" i="2"/>
  <c r="H42" i="2"/>
  <c r="G42" i="2"/>
  <c r="F42" i="2"/>
  <c r="E42" i="2"/>
  <c r="D42" i="2"/>
  <c r="C42" i="2"/>
  <c r="N40" i="2"/>
  <c r="M40" i="2"/>
  <c r="L40" i="2"/>
  <c r="K40" i="2"/>
  <c r="J40" i="2"/>
  <c r="I40" i="2"/>
  <c r="H40" i="2"/>
  <c r="G40" i="2"/>
  <c r="F40" i="2"/>
  <c r="E40" i="2"/>
  <c r="D40" i="2"/>
  <c r="C40" i="2"/>
  <c r="N38" i="2"/>
  <c r="M38" i="2"/>
  <c r="L38" i="2"/>
  <c r="K38" i="2"/>
  <c r="J38" i="2"/>
  <c r="I38" i="2"/>
  <c r="H38" i="2"/>
  <c r="G38" i="2"/>
  <c r="F38" i="2"/>
  <c r="E38" i="2"/>
  <c r="D38" i="2"/>
  <c r="C38" i="2"/>
  <c r="N34" i="2"/>
  <c r="N6" i="3" s="1"/>
  <c r="M34" i="2"/>
  <c r="M6" i="3" s="1"/>
  <c r="L34" i="2"/>
  <c r="L6" i="3" s="1"/>
  <c r="K34" i="2"/>
  <c r="K6" i="3" s="1"/>
  <c r="J34" i="2"/>
  <c r="J6" i="3" s="1"/>
  <c r="I34" i="2"/>
  <c r="I6" i="3" s="1"/>
  <c r="H34" i="2"/>
  <c r="H6" i="3" s="1"/>
  <c r="G34" i="2"/>
  <c r="G6" i="3" s="1"/>
  <c r="F34" i="2"/>
  <c r="F6" i="3" s="1"/>
  <c r="E34" i="2"/>
  <c r="E6" i="3" s="1"/>
  <c r="D34" i="2"/>
  <c r="D6" i="3" s="1"/>
  <c r="C34" i="2"/>
  <c r="N29" i="2"/>
  <c r="M29" i="2"/>
  <c r="L29" i="2"/>
  <c r="K29" i="2"/>
  <c r="J29" i="2"/>
  <c r="I29" i="2"/>
  <c r="H29" i="2"/>
  <c r="G29" i="2"/>
  <c r="F29" i="2"/>
  <c r="E29" i="2"/>
  <c r="D29" i="2"/>
  <c r="C29" i="2"/>
  <c r="O29" i="2" s="1"/>
  <c r="N18" i="2"/>
  <c r="M18" i="2"/>
  <c r="L18" i="2"/>
  <c r="K18" i="2"/>
  <c r="J18" i="2"/>
  <c r="I18" i="2"/>
  <c r="H18" i="2"/>
  <c r="G18" i="2"/>
  <c r="F18" i="2"/>
  <c r="E18" i="2"/>
  <c r="D18" i="2"/>
  <c r="C18" i="2"/>
  <c r="N15" i="2"/>
  <c r="M15" i="2"/>
  <c r="L15" i="2"/>
  <c r="K15" i="2"/>
  <c r="J15" i="2"/>
  <c r="I15" i="2"/>
  <c r="H15" i="2"/>
  <c r="G15" i="2"/>
  <c r="F15" i="2"/>
  <c r="E15" i="2"/>
  <c r="D15" i="2"/>
  <c r="C15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N14" i="2" s="1"/>
  <c r="N16" i="2" s="1"/>
  <c r="M12" i="2"/>
  <c r="M14" i="2" s="1"/>
  <c r="M16" i="2" s="1"/>
  <c r="L12" i="2"/>
  <c r="L14" i="2" s="1"/>
  <c r="L16" i="2" s="1"/>
  <c r="K12" i="2"/>
  <c r="K14" i="2" s="1"/>
  <c r="K16" i="2" s="1"/>
  <c r="J12" i="2"/>
  <c r="J14" i="2" s="1"/>
  <c r="J16" i="2" s="1"/>
  <c r="I12" i="2"/>
  <c r="I14" i="2" s="1"/>
  <c r="I16" i="2" s="1"/>
  <c r="H12" i="2"/>
  <c r="H14" i="2" s="1"/>
  <c r="H16" i="2" s="1"/>
  <c r="G12" i="2"/>
  <c r="G14" i="2" s="1"/>
  <c r="G16" i="2" s="1"/>
  <c r="F12" i="2"/>
  <c r="F14" i="2" s="1"/>
  <c r="F16" i="2" s="1"/>
  <c r="E12" i="2"/>
  <c r="E14" i="2" s="1"/>
  <c r="E16" i="2" s="1"/>
  <c r="D12" i="2"/>
  <c r="C12" i="2"/>
  <c r="N8" i="2"/>
  <c r="M8" i="2"/>
  <c r="L8" i="2"/>
  <c r="K8" i="2"/>
  <c r="J8" i="2"/>
  <c r="I8" i="2"/>
  <c r="H8" i="2"/>
  <c r="G8" i="2"/>
  <c r="F8" i="2"/>
  <c r="E8" i="2"/>
  <c r="D8" i="2"/>
  <c r="C8" i="2"/>
  <c r="N6" i="2"/>
  <c r="M6" i="2"/>
  <c r="L6" i="2"/>
  <c r="K6" i="2"/>
  <c r="J6" i="2"/>
  <c r="I6" i="2"/>
  <c r="H6" i="2"/>
  <c r="G6" i="2"/>
  <c r="F6" i="2"/>
  <c r="E6" i="2"/>
  <c r="D6" i="2"/>
  <c r="C6" i="2"/>
  <c r="N5" i="2"/>
  <c r="N7" i="2" s="1"/>
  <c r="N9" i="2" s="1"/>
  <c r="M5" i="2"/>
  <c r="M7" i="2" s="1"/>
  <c r="M9" i="2" s="1"/>
  <c r="M19" i="2" s="1"/>
  <c r="M22" i="2" s="1"/>
  <c r="L5" i="2"/>
  <c r="L7" i="2" s="1"/>
  <c r="L9" i="2" s="1"/>
  <c r="L19" i="2" s="1"/>
  <c r="L22" i="2" s="1"/>
  <c r="K5" i="2"/>
  <c r="K7" i="2" s="1"/>
  <c r="K9" i="2" s="1"/>
  <c r="K19" i="2" s="1"/>
  <c r="K22" i="2" s="1"/>
  <c r="J5" i="2"/>
  <c r="J7" i="2" s="1"/>
  <c r="J9" i="2" s="1"/>
  <c r="J19" i="2" s="1"/>
  <c r="J22" i="2" s="1"/>
  <c r="I5" i="2"/>
  <c r="I7" i="2" s="1"/>
  <c r="I9" i="2" s="1"/>
  <c r="I19" i="2" s="1"/>
  <c r="I22" i="2" s="1"/>
  <c r="H5" i="2"/>
  <c r="H7" i="2" s="1"/>
  <c r="H9" i="2" s="1"/>
  <c r="H19" i="2" s="1"/>
  <c r="H22" i="2" s="1"/>
  <c r="G5" i="2"/>
  <c r="G7" i="2" s="1"/>
  <c r="G9" i="2" s="1"/>
  <c r="G19" i="2" s="1"/>
  <c r="G22" i="2" s="1"/>
  <c r="F5" i="2"/>
  <c r="F7" i="2" s="1"/>
  <c r="F9" i="2" s="1"/>
  <c r="F19" i="2" s="1"/>
  <c r="F22" i="2" s="1"/>
  <c r="E5" i="2"/>
  <c r="E7" i="2" s="1"/>
  <c r="E9" i="2" s="1"/>
  <c r="E19" i="2" s="1"/>
  <c r="E22" i="2" s="1"/>
  <c r="D5" i="2"/>
  <c r="D7" i="2" s="1"/>
  <c r="D9" i="2" s="1"/>
  <c r="C5" i="2"/>
  <c r="C7" i="2" s="1"/>
  <c r="C9" i="2" s="1"/>
  <c r="D62" i="2" l="1"/>
  <c r="D64" i="2" s="1"/>
  <c r="D67" i="2" s="1"/>
  <c r="D70" i="2" s="1"/>
  <c r="O18" i="2"/>
  <c r="D14" i="2"/>
  <c r="D16" i="2" s="1"/>
  <c r="D19" i="2" s="1"/>
  <c r="D22" i="2" s="1"/>
  <c r="O66" i="2"/>
  <c r="C62" i="2"/>
  <c r="C64" i="2" s="1"/>
  <c r="C67" i="2" s="1"/>
  <c r="C14" i="2"/>
  <c r="C16" i="2" s="1"/>
  <c r="C43" i="3"/>
  <c r="O43" i="3" s="1"/>
  <c r="O42" i="3"/>
  <c r="C33" i="3"/>
  <c r="O33" i="3" s="1"/>
  <c r="O82" i="2"/>
  <c r="C6" i="3"/>
  <c r="O6" i="3" s="1"/>
  <c r="O34" i="2"/>
  <c r="J64" i="2"/>
  <c r="J67" i="2" s="1"/>
  <c r="J70" i="2" s="1"/>
  <c r="I64" i="2"/>
  <c r="I67" i="2" s="1"/>
  <c r="I70" i="2" s="1"/>
  <c r="H64" i="2"/>
  <c r="H67" i="2" s="1"/>
  <c r="H70" i="2" s="1"/>
  <c r="G64" i="2"/>
  <c r="G67" i="2" s="1"/>
  <c r="G70" i="2" s="1"/>
  <c r="F64" i="2"/>
  <c r="F67" i="2" s="1"/>
  <c r="F70" i="2" s="1"/>
  <c r="E64" i="2"/>
  <c r="N67" i="2"/>
  <c r="N70" i="2" s="1"/>
  <c r="M67" i="2"/>
  <c r="M70" i="2" s="1"/>
  <c r="L67" i="2"/>
  <c r="L70" i="2" s="1"/>
  <c r="K67" i="2"/>
  <c r="K70" i="2" s="1"/>
  <c r="C16" i="3"/>
  <c r="O16" i="3" s="1"/>
  <c r="O15" i="3"/>
  <c r="N71" i="2"/>
  <c r="N72" i="2"/>
  <c r="N75" i="2"/>
  <c r="N76" i="2"/>
  <c r="N89" i="2"/>
  <c r="M71" i="2"/>
  <c r="M72" i="2"/>
  <c r="M75" i="2"/>
  <c r="M76" i="2"/>
  <c r="M89" i="2"/>
  <c r="L71" i="2"/>
  <c r="L72" i="2" s="1"/>
  <c r="L75" i="2"/>
  <c r="L76" i="2"/>
  <c r="L89" i="2"/>
  <c r="K71" i="2"/>
  <c r="K72" i="2"/>
  <c r="K75" i="2"/>
  <c r="K76" i="2"/>
  <c r="K89" i="2"/>
  <c r="I71" i="2"/>
  <c r="I72" i="2" s="1"/>
  <c r="O57" i="2"/>
  <c r="M23" i="2"/>
  <c r="M24" i="2"/>
  <c r="M27" i="2"/>
  <c r="M28" i="2"/>
  <c r="M41" i="2"/>
  <c r="L23" i="2"/>
  <c r="L24" i="2"/>
  <c r="L27" i="2"/>
  <c r="L28" i="2"/>
  <c r="L41" i="2"/>
  <c r="K23" i="2"/>
  <c r="K24" i="2" s="1"/>
  <c r="K27" i="2"/>
  <c r="K28" i="2"/>
  <c r="K41" i="2"/>
  <c r="J23" i="2"/>
  <c r="J24" i="2"/>
  <c r="J27" i="2"/>
  <c r="J28" i="2"/>
  <c r="J41" i="2"/>
  <c r="I23" i="2"/>
  <c r="I24" i="2"/>
  <c r="I27" i="2"/>
  <c r="I28" i="2"/>
  <c r="I41" i="2"/>
  <c r="H23" i="2"/>
  <c r="H24" i="2" s="1"/>
  <c r="H27" i="2"/>
  <c r="H28" i="2"/>
  <c r="H41" i="2"/>
  <c r="G23" i="2"/>
  <c r="G24" i="2" s="1"/>
  <c r="G27" i="2"/>
  <c r="G28" i="2"/>
  <c r="G41" i="2"/>
  <c r="F23" i="2"/>
  <c r="F24" i="2" s="1"/>
  <c r="F27" i="2"/>
  <c r="F28" i="2"/>
  <c r="F41" i="2"/>
  <c r="E23" i="2"/>
  <c r="E24" i="2" s="1"/>
  <c r="E27" i="2"/>
  <c r="E28" i="2"/>
  <c r="E41" i="2"/>
  <c r="O9" i="2"/>
  <c r="N19" i="2"/>
  <c r="N22" i="2" s="1"/>
  <c r="D23" i="2" l="1"/>
  <c r="D24" i="2" s="1"/>
  <c r="D28" i="2"/>
  <c r="D27" i="2"/>
  <c r="D41" i="2"/>
  <c r="C19" i="2"/>
  <c r="O16" i="2"/>
  <c r="J75" i="2"/>
  <c r="J76" i="2"/>
  <c r="J89" i="2"/>
  <c r="J71" i="2"/>
  <c r="J72" i="2" s="1"/>
  <c r="I75" i="2"/>
  <c r="I76" i="2"/>
  <c r="I89" i="2"/>
  <c r="H71" i="2"/>
  <c r="H72" i="2"/>
  <c r="H75" i="2"/>
  <c r="H76" i="2"/>
  <c r="H89" i="2"/>
  <c r="G71" i="2"/>
  <c r="G72" i="2"/>
  <c r="G75" i="2"/>
  <c r="G76" i="2"/>
  <c r="G89" i="2"/>
  <c r="F71" i="2"/>
  <c r="F72" i="2"/>
  <c r="F75" i="2"/>
  <c r="F76" i="2"/>
  <c r="F89" i="2"/>
  <c r="E67" i="2"/>
  <c r="E70" i="2" s="1"/>
  <c r="O64" i="2"/>
  <c r="D71" i="2"/>
  <c r="D72" i="2"/>
  <c r="D73" i="2" s="1"/>
  <c r="D75" i="2"/>
  <c r="D76" i="2"/>
  <c r="D89" i="2"/>
  <c r="D30" i="4" s="1"/>
  <c r="M30" i="2"/>
  <c r="M32" i="2" s="1"/>
  <c r="K30" i="2"/>
  <c r="K32" i="2" s="1"/>
  <c r="D78" i="2"/>
  <c r="D80" i="2" s="1"/>
  <c r="K78" i="2"/>
  <c r="H78" i="2"/>
  <c r="I30" i="2"/>
  <c r="I32" i="2" s="1"/>
  <c r="N87" i="2"/>
  <c r="N91" i="2"/>
  <c r="N73" i="2"/>
  <c r="N36" i="3"/>
  <c r="N30" i="4"/>
  <c r="M87" i="2"/>
  <c r="M91" i="2"/>
  <c r="M73" i="2"/>
  <c r="M36" i="3"/>
  <c r="M30" i="4"/>
  <c r="L87" i="2"/>
  <c r="L91" i="2"/>
  <c r="L73" i="2"/>
  <c r="L36" i="3"/>
  <c r="L30" i="4"/>
  <c r="K87" i="2"/>
  <c r="K91" i="2"/>
  <c r="K73" i="2"/>
  <c r="K80" i="2"/>
  <c r="K36" i="3"/>
  <c r="K30" i="4"/>
  <c r="J87" i="2"/>
  <c r="J91" i="2"/>
  <c r="J36" i="3"/>
  <c r="J30" i="4"/>
  <c r="I87" i="2"/>
  <c r="I91" i="2"/>
  <c r="I73" i="2"/>
  <c r="I36" i="3"/>
  <c r="I30" i="4"/>
  <c r="H87" i="2"/>
  <c r="H91" i="2"/>
  <c r="H73" i="2"/>
  <c r="O67" i="2"/>
  <c r="C70" i="2"/>
  <c r="M39" i="2"/>
  <c r="M43" i="2"/>
  <c r="M25" i="2"/>
  <c r="M9" i="3"/>
  <c r="M7" i="4"/>
  <c r="L39" i="2"/>
  <c r="L43" i="2"/>
  <c r="L25" i="2"/>
  <c r="L9" i="3"/>
  <c r="L7" i="4"/>
  <c r="K39" i="2"/>
  <c r="K43" i="2"/>
  <c r="K25" i="2"/>
  <c r="K9" i="3"/>
  <c r="K7" i="4"/>
  <c r="J39" i="2"/>
  <c r="J43" i="2"/>
  <c r="J25" i="2"/>
  <c r="J9" i="3"/>
  <c r="J7" i="4"/>
  <c r="I39" i="2"/>
  <c r="I43" i="2"/>
  <c r="I25" i="2"/>
  <c r="I9" i="3"/>
  <c r="I7" i="4"/>
  <c r="H39" i="2"/>
  <c r="H43" i="2"/>
  <c r="H25" i="2"/>
  <c r="H9" i="3"/>
  <c r="H7" i="4"/>
  <c r="G39" i="2"/>
  <c r="G43" i="2"/>
  <c r="G25" i="2"/>
  <c r="G9" i="3"/>
  <c r="G7" i="4"/>
  <c r="F39" i="2"/>
  <c r="F43" i="2"/>
  <c r="F25" i="2"/>
  <c r="F9" i="3"/>
  <c r="F7" i="4"/>
  <c r="E39" i="2"/>
  <c r="E43" i="2"/>
  <c r="E25" i="2"/>
  <c r="E9" i="3"/>
  <c r="E7" i="4"/>
  <c r="D39" i="2"/>
  <c r="D43" i="2"/>
  <c r="D25" i="2"/>
  <c r="D7" i="4"/>
  <c r="O19" i="2"/>
  <c r="C22" i="2"/>
  <c r="N41" i="2"/>
  <c r="N28" i="2"/>
  <c r="N27" i="2"/>
  <c r="N30" i="2" s="1"/>
  <c r="N23" i="2"/>
  <c r="N24" i="2" s="1"/>
  <c r="J78" i="2"/>
  <c r="J30" i="2"/>
  <c r="J32" i="2" s="1"/>
  <c r="L30" i="2"/>
  <c r="L32" i="2" s="1"/>
  <c r="H30" i="2"/>
  <c r="H32" i="2" s="1"/>
  <c r="G30" i="2"/>
  <c r="G32" i="2" s="1"/>
  <c r="F30" i="2"/>
  <c r="F32" i="2" s="1"/>
  <c r="E30" i="2"/>
  <c r="E32" i="2" s="1"/>
  <c r="D30" i="2"/>
  <c r="D32" i="2" s="1"/>
  <c r="N78" i="2"/>
  <c r="N80" i="2" s="1"/>
  <c r="M78" i="2"/>
  <c r="M80" i="2" s="1"/>
  <c r="L78" i="2"/>
  <c r="L80" i="2" s="1"/>
  <c r="J80" i="2" l="1"/>
  <c r="J73" i="2"/>
  <c r="I78" i="2"/>
  <c r="I80" i="2" s="1"/>
  <c r="H80" i="2"/>
  <c r="G78" i="2"/>
  <c r="F78" i="2"/>
  <c r="E89" i="2"/>
  <c r="E76" i="2"/>
  <c r="E75" i="2"/>
  <c r="E78" i="2" s="1"/>
  <c r="E71" i="2"/>
  <c r="E72" i="2" s="1"/>
  <c r="H36" i="3"/>
  <c r="H30" i="4"/>
  <c r="G87" i="2"/>
  <c r="G91" i="2"/>
  <c r="G73" i="2"/>
  <c r="G80" i="2"/>
  <c r="G83" i="2" s="1"/>
  <c r="G32" i="3" s="1"/>
  <c r="G36" i="3"/>
  <c r="G30" i="4"/>
  <c r="F87" i="2"/>
  <c r="F91" i="2"/>
  <c r="F73" i="2"/>
  <c r="F80" i="2"/>
  <c r="F36" i="3"/>
  <c r="F30" i="4"/>
  <c r="D87" i="2"/>
  <c r="D29" i="4" s="1"/>
  <c r="D91" i="2"/>
  <c r="D35" i="4" s="1"/>
  <c r="D36" i="4" s="1"/>
  <c r="N35" i="3"/>
  <c r="N29" i="4"/>
  <c r="N37" i="3"/>
  <c r="N35" i="4"/>
  <c r="N36" i="4" s="1"/>
  <c r="N81" i="2"/>
  <c r="N83" i="2"/>
  <c r="N32" i="3" s="1"/>
  <c r="M35" i="3"/>
  <c r="M29" i="4"/>
  <c r="M37" i="3"/>
  <c r="M35" i="4"/>
  <c r="M36" i="4" s="1"/>
  <c r="M81" i="2"/>
  <c r="M83" i="2"/>
  <c r="M32" i="3" s="1"/>
  <c r="L35" i="3"/>
  <c r="L29" i="4"/>
  <c r="L37" i="3"/>
  <c r="L35" i="4"/>
  <c r="L36" i="4" s="1"/>
  <c r="L81" i="2"/>
  <c r="L83" i="2"/>
  <c r="L32" i="3" s="1"/>
  <c r="K35" i="3"/>
  <c r="K29" i="4"/>
  <c r="K37" i="3"/>
  <c r="K35" i="4"/>
  <c r="K36" i="4" s="1"/>
  <c r="K81" i="2"/>
  <c r="K83" i="2"/>
  <c r="K32" i="3" s="1"/>
  <c r="J35" i="3"/>
  <c r="J29" i="4"/>
  <c r="J37" i="3"/>
  <c r="J35" i="4"/>
  <c r="J36" i="4" s="1"/>
  <c r="J81" i="2"/>
  <c r="J83" i="2"/>
  <c r="J32" i="3" s="1"/>
  <c r="I35" i="3"/>
  <c r="I29" i="4"/>
  <c r="I37" i="3"/>
  <c r="I35" i="4"/>
  <c r="I36" i="4" s="1"/>
  <c r="I81" i="2"/>
  <c r="I83" i="2"/>
  <c r="I32" i="3" s="1"/>
  <c r="H35" i="3"/>
  <c r="H29" i="4"/>
  <c r="H37" i="3"/>
  <c r="H35" i="4"/>
  <c r="H36" i="4" s="1"/>
  <c r="H81" i="2"/>
  <c r="H83" i="2"/>
  <c r="H32" i="3" s="1"/>
  <c r="G35" i="3"/>
  <c r="G29" i="4"/>
  <c r="G37" i="3"/>
  <c r="G35" i="4"/>
  <c r="G36" i="4" s="1"/>
  <c r="G81" i="2"/>
  <c r="D81" i="2"/>
  <c r="D83" i="2"/>
  <c r="D32" i="3" s="1"/>
  <c r="O70" i="2"/>
  <c r="C71" i="2"/>
  <c r="C72" i="2"/>
  <c r="C75" i="2"/>
  <c r="C76" i="2"/>
  <c r="C89" i="2"/>
  <c r="M8" i="3"/>
  <c r="M6" i="4"/>
  <c r="M10" i="3"/>
  <c r="M12" i="4"/>
  <c r="M13" i="4" s="1"/>
  <c r="M33" i="2"/>
  <c r="M35" i="2"/>
  <c r="M5" i="3" s="1"/>
  <c r="L8" i="3"/>
  <c r="L6" i="4"/>
  <c r="L10" i="3"/>
  <c r="L12" i="4"/>
  <c r="L13" i="4" s="1"/>
  <c r="L33" i="2"/>
  <c r="L35" i="2"/>
  <c r="L5" i="3" s="1"/>
  <c r="K8" i="3"/>
  <c r="K6" i="4"/>
  <c r="K10" i="3"/>
  <c r="K12" i="4"/>
  <c r="K13" i="4" s="1"/>
  <c r="K33" i="2"/>
  <c r="K35" i="2"/>
  <c r="K5" i="3" s="1"/>
  <c r="J8" i="3"/>
  <c r="J6" i="4"/>
  <c r="J10" i="3"/>
  <c r="J12" i="4"/>
  <c r="J13" i="4" s="1"/>
  <c r="J33" i="2"/>
  <c r="J35" i="2"/>
  <c r="J5" i="3" s="1"/>
  <c r="I8" i="3"/>
  <c r="I6" i="4"/>
  <c r="I10" i="3"/>
  <c r="I12" i="4"/>
  <c r="I13" i="4" s="1"/>
  <c r="I33" i="2"/>
  <c r="I35" i="2"/>
  <c r="I5" i="3" s="1"/>
  <c r="H8" i="3"/>
  <c r="H6" i="4"/>
  <c r="H10" i="3"/>
  <c r="H12" i="4"/>
  <c r="H13" i="4" s="1"/>
  <c r="H33" i="2"/>
  <c r="H35" i="2"/>
  <c r="H5" i="3" s="1"/>
  <c r="G8" i="3"/>
  <c r="G6" i="4"/>
  <c r="G10" i="3"/>
  <c r="G12" i="4"/>
  <c r="G13" i="4" s="1"/>
  <c r="G33" i="2"/>
  <c r="G35" i="2"/>
  <c r="G5" i="3" s="1"/>
  <c r="F8" i="3"/>
  <c r="F6" i="4"/>
  <c r="F10" i="3"/>
  <c r="F12" i="4"/>
  <c r="F13" i="4" s="1"/>
  <c r="F33" i="2"/>
  <c r="F35" i="2"/>
  <c r="F5" i="3" s="1"/>
  <c r="E8" i="3"/>
  <c r="E6" i="4"/>
  <c r="E10" i="3"/>
  <c r="E12" i="4"/>
  <c r="E13" i="4" s="1"/>
  <c r="E33" i="2"/>
  <c r="E35" i="2"/>
  <c r="E5" i="3" s="1"/>
  <c r="D6" i="4"/>
  <c r="D12" i="4"/>
  <c r="D13" i="4" s="1"/>
  <c r="D33" i="2"/>
  <c r="D35" i="2"/>
  <c r="D5" i="3" s="1"/>
  <c r="O22" i="2"/>
  <c r="C23" i="2"/>
  <c r="C24" i="2" s="1"/>
  <c r="C27" i="2"/>
  <c r="C28" i="2"/>
  <c r="O28" i="2" s="1"/>
  <c r="C41" i="2"/>
  <c r="N9" i="3"/>
  <c r="N7" i="4"/>
  <c r="N25" i="2"/>
  <c r="N32" i="2"/>
  <c r="N39" i="2"/>
  <c r="N43" i="2"/>
  <c r="E30" i="4" l="1"/>
  <c r="E36" i="3"/>
  <c r="E80" i="2"/>
  <c r="E73" i="2"/>
  <c r="E91" i="2"/>
  <c r="E87" i="2"/>
  <c r="O76" i="2"/>
  <c r="F35" i="3"/>
  <c r="F29" i="4"/>
  <c r="F37" i="3"/>
  <c r="F35" i="4"/>
  <c r="F36" i="4" s="1"/>
  <c r="F81" i="2"/>
  <c r="F83" i="2"/>
  <c r="F32" i="3" s="1"/>
  <c r="O71" i="2"/>
  <c r="C87" i="2"/>
  <c r="C91" i="2"/>
  <c r="O73" i="2"/>
  <c r="O72" i="2"/>
  <c r="C73" i="2"/>
  <c r="O75" i="2"/>
  <c r="C78" i="2"/>
  <c r="D36" i="3"/>
  <c r="C36" i="3"/>
  <c r="O36" i="3" s="1"/>
  <c r="C30" i="4"/>
  <c r="O23" i="2"/>
  <c r="C39" i="2"/>
  <c r="C6" i="4" s="1"/>
  <c r="C43" i="2"/>
  <c r="O25" i="2"/>
  <c r="O24" i="2"/>
  <c r="C25" i="2"/>
  <c r="O27" i="2"/>
  <c r="C30" i="2"/>
  <c r="D9" i="3"/>
  <c r="C9" i="3"/>
  <c r="O9" i="3" s="1"/>
  <c r="C7" i="4"/>
  <c r="N33" i="2"/>
  <c r="N35" i="2"/>
  <c r="N5" i="3" s="1"/>
  <c r="N8" i="3"/>
  <c r="N6" i="4"/>
  <c r="N10" i="3"/>
  <c r="N12" i="4"/>
  <c r="N13" i="4" s="1"/>
  <c r="N38" i="3"/>
  <c r="N39" i="3" s="1"/>
  <c r="N48" i="3" s="1"/>
  <c r="M38" i="3"/>
  <c r="M39" i="3" s="1"/>
  <c r="M48" i="3" s="1"/>
  <c r="L38" i="3"/>
  <c r="L39" i="3" s="1"/>
  <c r="L48" i="3" s="1"/>
  <c r="K38" i="3"/>
  <c r="K39" i="3" s="1"/>
  <c r="K48" i="3" s="1"/>
  <c r="J38" i="3"/>
  <c r="J39" i="3" s="1"/>
  <c r="J48" i="3" s="1"/>
  <c r="I38" i="3"/>
  <c r="I39" i="3" s="1"/>
  <c r="I48" i="3" s="1"/>
  <c r="H38" i="3"/>
  <c r="H39" i="3" s="1"/>
  <c r="H48" i="3" s="1"/>
  <c r="G38" i="3"/>
  <c r="G39" i="3" s="1"/>
  <c r="G48" i="3" s="1"/>
  <c r="K11" i="3"/>
  <c r="K12" i="3" s="1"/>
  <c r="K21" i="3" s="1"/>
  <c r="M11" i="3"/>
  <c r="M12" i="3" s="1"/>
  <c r="M21" i="3" s="1"/>
  <c r="L11" i="3"/>
  <c r="L12" i="3" s="1"/>
  <c r="L21" i="3" s="1"/>
  <c r="J11" i="3"/>
  <c r="J12" i="3" s="1"/>
  <c r="J21" i="3" s="1"/>
  <c r="I11" i="3"/>
  <c r="I12" i="3" s="1"/>
  <c r="I21" i="3" s="1"/>
  <c r="H11" i="3"/>
  <c r="H12" i="3" s="1"/>
  <c r="H21" i="3" s="1"/>
  <c r="G11" i="3"/>
  <c r="G12" i="3" s="1"/>
  <c r="G21" i="3" s="1"/>
  <c r="F11" i="3"/>
  <c r="F12" i="3" s="1"/>
  <c r="F21" i="3" s="1"/>
  <c r="E11" i="3"/>
  <c r="E12" i="3" s="1"/>
  <c r="E21" i="3" s="1"/>
  <c r="F38" i="3" l="1"/>
  <c r="F39" i="3" s="1"/>
  <c r="F48" i="3" s="1"/>
  <c r="E83" i="2"/>
  <c r="E32" i="3" s="1"/>
  <c r="E81" i="2"/>
  <c r="E35" i="4"/>
  <c r="E36" i="4" s="1"/>
  <c r="E37" i="3"/>
  <c r="E29" i="4"/>
  <c r="E35" i="3"/>
  <c r="E38" i="3" s="1"/>
  <c r="D35" i="3"/>
  <c r="C35" i="3"/>
  <c r="C29" i="4"/>
  <c r="D37" i="3"/>
  <c r="C37" i="3"/>
  <c r="C35" i="4"/>
  <c r="C36" i="4" s="1"/>
  <c r="D8" i="3"/>
  <c r="C8" i="3"/>
  <c r="D10" i="3"/>
  <c r="C10" i="3"/>
  <c r="O10" i="3" s="1"/>
  <c r="C12" i="4"/>
  <c r="C13" i="4" s="1"/>
  <c r="N11" i="3"/>
  <c r="N12" i="3" s="1"/>
  <c r="N21" i="3" s="1"/>
  <c r="O78" i="2"/>
  <c r="C80" i="2"/>
  <c r="O30" i="2"/>
  <c r="C32" i="2"/>
  <c r="O37" i="3" l="1"/>
  <c r="E39" i="3"/>
  <c r="E48" i="3" s="1"/>
  <c r="D11" i="3"/>
  <c r="D12" i="3" s="1"/>
  <c r="D21" i="3" s="1"/>
  <c r="O35" i="3"/>
  <c r="C38" i="3"/>
  <c r="O8" i="3"/>
  <c r="C11" i="3"/>
  <c r="O11" i="3" s="1"/>
  <c r="C83" i="2"/>
  <c r="O81" i="2"/>
  <c r="C81" i="2"/>
  <c r="O80" i="2"/>
  <c r="C35" i="2"/>
  <c r="O33" i="2"/>
  <c r="C33" i="2"/>
  <c r="O32" i="2"/>
  <c r="D38" i="3"/>
  <c r="D39" i="3" s="1"/>
  <c r="D48" i="3" s="1"/>
  <c r="O83" i="2" l="1"/>
  <c r="C32" i="3"/>
  <c r="C39" i="4"/>
  <c r="C5" i="3"/>
  <c r="C16" i="4"/>
  <c r="O35" i="2"/>
  <c r="O38" i="3"/>
  <c r="C39" i="3" l="1"/>
  <c r="O32" i="3"/>
  <c r="D39" i="4"/>
  <c r="C40" i="4"/>
  <c r="C41" i="4" s="1"/>
  <c r="O5" i="3"/>
  <c r="C12" i="3"/>
  <c r="D16" i="4"/>
  <c r="C17" i="4"/>
  <c r="C18" i="4" s="1"/>
  <c r="O39" i="3" l="1"/>
  <c r="C48" i="3"/>
  <c r="E39" i="4"/>
  <c r="D40" i="4"/>
  <c r="D41" i="4" s="1"/>
  <c r="O12" i="3"/>
  <c r="C21" i="3"/>
  <c r="E16" i="4"/>
  <c r="D17" i="4"/>
  <c r="D18" i="4" s="1"/>
  <c r="C50" i="3" l="1"/>
  <c r="O48" i="3"/>
  <c r="F39" i="4"/>
  <c r="E40" i="4"/>
  <c r="E41" i="4" s="1"/>
  <c r="C23" i="3"/>
  <c r="O21" i="3"/>
  <c r="F16" i="4"/>
  <c r="E17" i="4"/>
  <c r="E18" i="4" s="1"/>
  <c r="C11" i="5" l="1"/>
  <c r="C28" i="4"/>
  <c r="C32" i="4" s="1"/>
  <c r="C42" i="4" s="1"/>
  <c r="C10" i="5" s="1"/>
  <c r="D49" i="3"/>
  <c r="D50" i="3" s="1"/>
  <c r="G39" i="4"/>
  <c r="F40" i="4"/>
  <c r="F41" i="4" s="1"/>
  <c r="D22" i="3"/>
  <c r="D23" i="3" s="1"/>
  <c r="C7" i="5"/>
  <c r="C5" i="4"/>
  <c r="C9" i="4" s="1"/>
  <c r="C19" i="4" s="1"/>
  <c r="C6" i="5" s="1"/>
  <c r="G16" i="4"/>
  <c r="F17" i="4"/>
  <c r="F18" i="4" s="1"/>
  <c r="E49" i="3" l="1"/>
  <c r="E50" i="3" s="1"/>
  <c r="D28" i="4"/>
  <c r="D32" i="4" s="1"/>
  <c r="D42" i="4" s="1"/>
  <c r="D10" i="5" s="1"/>
  <c r="D11" i="5"/>
  <c r="H39" i="4"/>
  <c r="G40" i="4"/>
  <c r="G41" i="4" s="1"/>
  <c r="D5" i="4"/>
  <c r="D9" i="4" s="1"/>
  <c r="D19" i="4" s="1"/>
  <c r="D6" i="5" s="1"/>
  <c r="D7" i="5"/>
  <c r="E22" i="3"/>
  <c r="E23" i="3" s="1"/>
  <c r="H16" i="4"/>
  <c r="G17" i="4"/>
  <c r="G18" i="4" s="1"/>
  <c r="F49" i="3" l="1"/>
  <c r="F50" i="3" s="1"/>
  <c r="E28" i="4"/>
  <c r="E32" i="4" s="1"/>
  <c r="E42" i="4" s="1"/>
  <c r="E10" i="5" s="1"/>
  <c r="E11" i="5"/>
  <c r="I39" i="4"/>
  <c r="H40" i="4"/>
  <c r="H41" i="4" s="1"/>
  <c r="E5" i="4"/>
  <c r="E9" i="4" s="1"/>
  <c r="E19" i="4" s="1"/>
  <c r="E6" i="5" s="1"/>
  <c r="E7" i="5"/>
  <c r="F22" i="3"/>
  <c r="F23" i="3" s="1"/>
  <c r="I16" i="4"/>
  <c r="H17" i="4"/>
  <c r="H18" i="4" s="1"/>
  <c r="G49" i="3" l="1"/>
  <c r="G50" i="3" s="1"/>
  <c r="F28" i="4"/>
  <c r="F32" i="4" s="1"/>
  <c r="F42" i="4" s="1"/>
  <c r="F10" i="5" s="1"/>
  <c r="F11" i="5"/>
  <c r="J39" i="4"/>
  <c r="I40" i="4"/>
  <c r="I41" i="4" s="1"/>
  <c r="F5" i="4"/>
  <c r="F9" i="4" s="1"/>
  <c r="F19" i="4" s="1"/>
  <c r="F6" i="5" s="1"/>
  <c r="F7" i="5"/>
  <c r="G22" i="3"/>
  <c r="G23" i="3" s="1"/>
  <c r="J16" i="4"/>
  <c r="I17" i="4"/>
  <c r="I18" i="4" s="1"/>
  <c r="H49" i="3" l="1"/>
  <c r="H50" i="3" s="1"/>
  <c r="G28" i="4"/>
  <c r="G32" i="4" s="1"/>
  <c r="G42" i="4" s="1"/>
  <c r="G10" i="5" s="1"/>
  <c r="G11" i="5"/>
  <c r="K39" i="4"/>
  <c r="J40" i="4"/>
  <c r="J41" i="4" s="1"/>
  <c r="G5" i="4"/>
  <c r="G9" i="4" s="1"/>
  <c r="G19" i="4" s="1"/>
  <c r="G6" i="5" s="1"/>
  <c r="G7" i="5"/>
  <c r="H22" i="3"/>
  <c r="H23" i="3" s="1"/>
  <c r="K16" i="4"/>
  <c r="J17" i="4"/>
  <c r="J18" i="4" s="1"/>
  <c r="I49" i="3" l="1"/>
  <c r="I50" i="3" s="1"/>
  <c r="H28" i="4"/>
  <c r="H32" i="4" s="1"/>
  <c r="H42" i="4" s="1"/>
  <c r="H10" i="5" s="1"/>
  <c r="H11" i="5"/>
  <c r="L39" i="4"/>
  <c r="K40" i="4"/>
  <c r="K41" i="4" s="1"/>
  <c r="H5" i="4"/>
  <c r="H9" i="4" s="1"/>
  <c r="H19" i="4" s="1"/>
  <c r="H6" i="5" s="1"/>
  <c r="H7" i="5"/>
  <c r="I22" i="3"/>
  <c r="I23" i="3" s="1"/>
  <c r="L16" i="4"/>
  <c r="K17" i="4"/>
  <c r="K18" i="4" s="1"/>
  <c r="J49" i="3" l="1"/>
  <c r="J50" i="3" s="1"/>
  <c r="I28" i="4"/>
  <c r="I32" i="4" s="1"/>
  <c r="I42" i="4" s="1"/>
  <c r="I10" i="5" s="1"/>
  <c r="I11" i="5"/>
  <c r="M39" i="4"/>
  <c r="L40" i="4"/>
  <c r="L41" i="4" s="1"/>
  <c r="I5" i="4"/>
  <c r="I9" i="4" s="1"/>
  <c r="I19" i="4" s="1"/>
  <c r="I6" i="5" s="1"/>
  <c r="I7" i="5"/>
  <c r="J22" i="3"/>
  <c r="J23" i="3" s="1"/>
  <c r="M16" i="4"/>
  <c r="L17" i="4"/>
  <c r="L18" i="4" s="1"/>
  <c r="K49" i="3" l="1"/>
  <c r="K50" i="3" s="1"/>
  <c r="J28" i="4"/>
  <c r="J32" i="4" s="1"/>
  <c r="J42" i="4" s="1"/>
  <c r="J10" i="5" s="1"/>
  <c r="J11" i="5"/>
  <c r="N39" i="4"/>
  <c r="N40" i="4" s="1"/>
  <c r="N41" i="4" s="1"/>
  <c r="M40" i="4"/>
  <c r="M41" i="4" s="1"/>
  <c r="J5" i="4"/>
  <c r="J9" i="4" s="1"/>
  <c r="J19" i="4" s="1"/>
  <c r="J6" i="5" s="1"/>
  <c r="J7" i="5"/>
  <c r="K22" i="3"/>
  <c r="K23" i="3" s="1"/>
  <c r="N16" i="4"/>
  <c r="N17" i="4" s="1"/>
  <c r="N18" i="4" s="1"/>
  <c r="M17" i="4"/>
  <c r="M18" i="4" s="1"/>
  <c r="L49" i="3" l="1"/>
  <c r="L50" i="3" s="1"/>
  <c r="K28" i="4"/>
  <c r="K32" i="4" s="1"/>
  <c r="K42" i="4" s="1"/>
  <c r="K10" i="5" s="1"/>
  <c r="K11" i="5"/>
  <c r="K5" i="4"/>
  <c r="K9" i="4" s="1"/>
  <c r="K19" i="4" s="1"/>
  <c r="K6" i="5" s="1"/>
  <c r="K7" i="5"/>
  <c r="L22" i="3"/>
  <c r="L23" i="3" s="1"/>
  <c r="M49" i="3" l="1"/>
  <c r="M50" i="3" s="1"/>
  <c r="L28" i="4"/>
  <c r="L32" i="4" s="1"/>
  <c r="L42" i="4" s="1"/>
  <c r="L10" i="5" s="1"/>
  <c r="L11" i="5"/>
  <c r="L5" i="4"/>
  <c r="L9" i="4" s="1"/>
  <c r="L19" i="4" s="1"/>
  <c r="L6" i="5" s="1"/>
  <c r="L7" i="5"/>
  <c r="M22" i="3"/>
  <c r="M23" i="3" s="1"/>
  <c r="N49" i="3" l="1"/>
  <c r="N50" i="3" s="1"/>
  <c r="M28" i="4"/>
  <c r="M32" i="4" s="1"/>
  <c r="M42" i="4" s="1"/>
  <c r="M10" i="5" s="1"/>
  <c r="M11" i="5"/>
  <c r="M5" i="4"/>
  <c r="M9" i="4" s="1"/>
  <c r="M19" i="4" s="1"/>
  <c r="M6" i="5" s="1"/>
  <c r="M7" i="5"/>
  <c r="N22" i="3"/>
  <c r="N23" i="3" s="1"/>
  <c r="O50" i="3" l="1"/>
  <c r="N28" i="4"/>
  <c r="N32" i="4" s="1"/>
  <c r="N42" i="4" s="1"/>
  <c r="N10" i="5" s="1"/>
  <c r="N11" i="5"/>
  <c r="O23" i="3"/>
  <c r="N5" i="4"/>
  <c r="N9" i="4" s="1"/>
  <c r="N19" i="4" s="1"/>
  <c r="N6" i="5" s="1"/>
  <c r="N7" i="5"/>
</calcChain>
</file>

<file path=xl/sharedStrings.xml><?xml version="1.0" encoding="utf-8"?>
<sst xmlns="http://schemas.openxmlformats.org/spreadsheetml/2006/main" count="300" uniqueCount="133">
  <si>
    <t>VERANDAH BRANDS — 3-STATEMENT MODEL ASSUMPTIONS</t>
  </si>
  <si>
    <t>Assumption</t>
  </si>
  <si>
    <t>Unit</t>
  </si>
  <si>
    <t>Base Case</t>
  </si>
  <si>
    <t>Downside Case</t>
  </si>
  <si>
    <t>REVENUE GROWTH</t>
  </si>
  <si>
    <t>Monthly revenue growth rate (MoM)</t>
  </si>
  <si>
    <t>% mom</t>
  </si>
  <si>
    <t>YABBY — D2C DRIVER TREE</t>
  </si>
  <si>
    <t xml:space="preserve">  Starting monthly sessions</t>
  </si>
  <si>
    <t>sessions</t>
  </si>
  <si>
    <t xml:space="preserve">  Monthly session growth rate</t>
  </si>
  <si>
    <t xml:space="preserve">  Conversion rate</t>
  </si>
  <si>
    <t>%</t>
  </si>
  <si>
    <t xml:space="preserve">  Average order value (AOV)</t>
  </si>
  <si>
    <t>AUD $</t>
  </si>
  <si>
    <t>VERANDAH TRADE — D2B DRIVER TREE</t>
  </si>
  <si>
    <t xml:space="preserve">  Starting active accounts</t>
  </si>
  <si>
    <t>accounts</t>
  </si>
  <si>
    <t xml:space="preserve">  Monthly account growth rate</t>
  </si>
  <si>
    <t xml:space="preserve">  Orders per account per month</t>
  </si>
  <si>
    <t>orders</t>
  </si>
  <si>
    <t>OTHER BRANDS (TileCloud + Dawn)</t>
  </si>
  <si>
    <t xml:space="preserve">  Starting monthly revenue</t>
  </si>
  <si>
    <t>P&amp;L DRIVERS</t>
  </si>
  <si>
    <t xml:space="preserve">  Gross margin</t>
  </si>
  <si>
    <t xml:space="preserve">  Marketing % of revenue</t>
  </si>
  <si>
    <t xml:space="preserve">  Fulfilment % of revenue</t>
  </si>
  <si>
    <t xml:space="preserve">  Monthly overheads (fixed)</t>
  </si>
  <si>
    <t xml:space="preserve">  Monthly D&amp;A</t>
  </si>
  <si>
    <t xml:space="preserve">  Monthly capex</t>
  </si>
  <si>
    <t>WORKING CAPITAL</t>
  </si>
  <si>
    <t xml:space="preserve">  Inventory days — Month 1</t>
  </si>
  <si>
    <t>days</t>
  </si>
  <si>
    <t xml:space="preserve">  Inventory days — Month 12</t>
  </si>
  <si>
    <t xml:space="preserve">  Payable days — Month 1</t>
  </si>
  <si>
    <t xml:space="preserve">  Payable days — Month 12</t>
  </si>
  <si>
    <t xml:space="preserve">  AR days (D2C cash in ~5 days)</t>
  </si>
  <si>
    <t>OPENING BALANCES</t>
  </si>
  <si>
    <t xml:space="preserve">  Opening cash</t>
  </si>
  <si>
    <t xml:space="preserve">  Opening equity</t>
  </si>
  <si>
    <t>Color: Blue = hardcoded input  |  Black = formula  |  Green = cross-sheet link</t>
  </si>
  <si>
    <t>Source: Assumptions based on research of Verandah brands and ~30% YoY growth guidance</t>
  </si>
  <si>
    <t>▶  BASE CASE  —  P&amp;L  (AUD $)</t>
  </si>
  <si>
    <t>($AUD)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</si>
  <si>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</si>
  <si>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</si>
  <si>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</si>
  <si>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</si>
  <si>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</si>
  <si>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</si>
  <si>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</si>
  <si>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</si>
  <si>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</si>
  <si>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Jan-27</t>
  </si>
  <si>
    <t>Feb-27</t>
  </si>
  <si>
    <t>Mar-27</t>
  </si>
  <si>
    <t>FY Total</t>
  </si>
  <si>
    <t>YABBY — D2C Revenue Driver Tree</t>
  </si>
  <si>
    <t xml:space="preserve">  Sessions (monthly)</t>
  </si>
  <si>
    <t xml:space="preserve">  Orders</t>
  </si>
  <si>
    <t xml:space="preserve">  AOV (AUD)</t>
  </si>
  <si>
    <t xml:space="preserve">  Yabby Revenue</t>
  </si>
  <si>
    <t>VERANDAH TRADE — D2B Revenue Driver Tree</t>
  </si>
  <si>
    <t xml:space="preserve">  Active accounts</t>
  </si>
  <si>
    <t xml:space="preserve">  Orders per account / month</t>
  </si>
  <si>
    <t xml:space="preserve">  Total orders</t>
  </si>
  <si>
    <t xml:space="preserve">  Verandah Trade Revenue</t>
  </si>
  <si>
    <t xml:space="preserve">  Other Revenue  (TileCloud + Dawn)</t>
  </si>
  <si>
    <t>TOTAL GROUP REVENUE  ($)</t>
  </si>
  <si>
    <t>GROUP  P&amp;L</t>
  </si>
  <si>
    <t xml:space="preserve">  Revenue</t>
  </si>
  <si>
    <t xml:space="preserve">  Cost of Goods Sold</t>
  </si>
  <si>
    <t xml:space="preserve">  Gross Profit</t>
  </si>
  <si>
    <t xml:space="preserve">  Gross Margin %</t>
  </si>
  <si>
    <t xml:space="preserve">  Marketing</t>
  </si>
  <si>
    <t xml:space="preserve">  Fulfilment</t>
  </si>
  <si>
    <t xml:space="preserve">  Overheads (fixed)</t>
  </si>
  <si>
    <t xml:space="preserve">  Total Operating Expenses</t>
  </si>
  <si>
    <t>EBITDA</t>
  </si>
  <si>
    <t xml:space="preserve">  EBITDA Margin %</t>
  </si>
  <si>
    <t xml:space="preserve">  D&amp;A</t>
  </si>
  <si>
    <t>NET INCOME</t>
  </si>
  <si>
    <t>WORKING CAPITAL BALANCES  (feeds Cash Flow)</t>
  </si>
  <si>
    <t xml:space="preserve">  Inventory Days (interpolated M1→M12)</t>
  </si>
  <si>
    <t xml:space="preserve">  Inventory Balance</t>
  </si>
  <si>
    <t xml:space="preserve">  AR Days</t>
  </si>
  <si>
    <t xml:space="preserve">  AR Balance</t>
  </si>
  <si>
    <t xml:space="preserve">  Payable Days (interpolated M1→M12)</t>
  </si>
  <si>
    <t xml:space="preserve">  AP Balance</t>
  </si>
  <si>
    <t>▶  DOWNSIDE CASE  —  P&amp;L  (AUD $)</t>
  </si>
  <si>
    <t>▶  BASE CASE  —  CASH FLOW  (AUD $, Indirect Method)</t>
  </si>
  <si>
    <t>OPERATING ACTIVITIES</t>
  </si>
  <si>
    <t xml:space="preserve">  Net Income</t>
  </si>
  <si>
    <t xml:space="preserve">  Add back: D&amp;A</t>
  </si>
  <si>
    <t xml:space="preserve">  Working Capital Changes</t>
  </si>
  <si>
    <t xml:space="preserve">    (Increase) / Decrease in Inventory</t>
  </si>
  <si>
    <t xml:space="preserve">    (Increase) / Decrease in AR</t>
  </si>
  <si>
    <t xml:space="preserve">    Increase / (Decrease) in AP</t>
  </si>
  <si>
    <t xml:space="preserve">  Total WC Changes</t>
  </si>
  <si>
    <t>NET CASH FROM OPERATIONS</t>
  </si>
  <si>
    <t>INVESTING ACTIVITIES</t>
  </si>
  <si>
    <t xml:space="preserve">  Capex  (platform &amp; fulfilment)</t>
  </si>
  <si>
    <t>NET CASH FROM INVESTING</t>
  </si>
  <si>
    <t>FINANCING ACTIVITIES</t>
  </si>
  <si>
    <t>NET CASH FROM FINANCING  (no debt/equity assumed)</t>
  </si>
  <si>
    <t>NET CASH MOVEMENT</t>
  </si>
  <si>
    <t xml:space="preserve">  Opening Cash</t>
  </si>
  <si>
    <t>CLOSING CASH</t>
  </si>
  <si>
    <t>▶  DOWNSIDE CASE  —  CASH FLOW  (AUD $, Indirect Method)</t>
  </si>
  <si>
    <t>▶  BASE CASE  —  BALANCE SHEET  (AUD $)</t>
  </si>
  <si>
    <t>ASSETS</t>
  </si>
  <si>
    <t xml:space="preserve">  Cash</t>
  </si>
  <si>
    <t xml:space="preserve">  Inventory</t>
  </si>
  <si>
    <t xml:space="preserve">  Accounts Receivable</t>
  </si>
  <si>
    <t>TOTAL ASSETS</t>
  </si>
  <si>
    <t>LIABILITIES</t>
  </si>
  <si>
    <t xml:space="preserve">  Accounts Payable</t>
  </si>
  <si>
    <t>TOTAL LIABILITIES</t>
  </si>
  <si>
    <t>EQUITY</t>
  </si>
  <si>
    <t xml:space="preserve">  Retained Earnings / Equity</t>
  </si>
  <si>
    <t>TOTAL EQUITY</t>
  </si>
  <si>
    <t>TOTAL LIABILITIES + EQUITY</t>
  </si>
  <si>
    <t xml:space="preserve">  CHECK  (Assets − L+E)  →  must equal zero</t>
  </si>
  <si>
    <t>▶  DOWNSIDE CASE  —  BALANCE SHEET  (AUD $)</t>
  </si>
  <si>
    <t>MODEL INTEGRITY CHECKS  —  All values should equal zero</t>
  </si>
  <si>
    <t>Green cell = cross-sheet link  |  Zero = model is consistent</t>
  </si>
  <si>
    <t>BASE CASE</t>
  </si>
  <si>
    <t xml:space="preserve">  Balance Sheet: Assets − (Liabilities + Equity)</t>
  </si>
  <si>
    <t xml:space="preserve">  Cash roll: Closing − (Opening + Net movement)</t>
  </si>
  <si>
    <t>DOWNSIDE CASE</t>
  </si>
  <si>
    <t xml:space="preserve">  PP&amp;E (net)</t>
  </si>
  <si>
    <t xml:space="preserve">  Opening PP&amp;E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</si>
</sst>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;\(0.0%\);\-"/>
    <numFmt numFmtId="165" formatCode="#,##0;\(#,##0\);\-"/>
    <numFmt numFmtId="166" formatCode="\$#,##0;&quot;($&quot;#,##0\);\-"/>
    <numFmt numFmtId="167" formatCode="0.0;\(0.0\);\-"/>
    <numFmt numFmtId="168" formatCode="&quot;$&quot;#,##0;&quot;($&quot;#,##0\);\-"/>
  </numFmts>
  <fonts count="13" x14ac:knownFonts="1">
    <font>
      <sz val="11"/>
      <color theme="1"/>
      <name val="Calibri"/>
      <family val="2"/>
      <charset val="1"/>
    </font>
    <font>
      <b/>
      <sz val="12"/>
      <color rgb="FFFFFFFF"/>
      <name val="Arial"/>
      <charset val="1"/>
    </font>
    <font>
      <b/>
      <sz val="10"/>
      <color rgb="FF000000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sz val="10"/>
      <color rgb="FF808080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sz val="10"/>
      <color rgb="FF008000"/>
      <name val="Arial"/>
      <charset val="1"/>
    </font>
    <font>
      <sz val="10"/>
      <color rgb="FFFF0000"/>
      <name val="Arial"/>
      <charset val="1"/>
    </font>
    <font>
      <sz val="10"/>
      <color rgb="FF000000"/>
      <name val="Arial"/>
    </font>
    <font>
      <sz val="10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843C0C"/>
        <bgColor rgb="FF993366"/>
      </patternFill>
    </fill>
    <fill>
      <patternFill patternType="solid">
        <fgColor rgb="FFD9E8F5"/>
        <bgColor rgb="FFCCFFFF"/>
      </patternFill>
    </fill>
    <fill>
      <patternFill patternType="solid">
        <fgColor rgb="FF404040"/>
        <b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7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164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left"/>
    </xf>
    <xf numFmtId="0" fontId="8" fillId="6" borderId="0" xfId="0" applyFont="1" applyFill="1" applyAlignment="1">
      <alignment horizontal="center" vertical="center"/>
    </xf>
    <xf numFmtId="165" fontId="4" fillId="0" borderId="0" xfId="0" applyNumberFormat="1" applyFont="1"/>
    <xf numFmtId="164" fontId="4" fillId="0" borderId="0" xfId="0" applyNumberFormat="1" applyFont="1"/>
    <xf numFmtId="166" fontId="4" fillId="0" borderId="0" xfId="0" applyNumberFormat="1" applyFont="1"/>
    <xf numFmtId="166" fontId="2" fillId="0" borderId="0" xfId="0" applyNumberFormat="1" applyFont="1"/>
    <xf numFmtId="167" fontId="4" fillId="0" borderId="0" xfId="0" applyNumberFormat="1" applyFont="1"/>
    <xf numFmtId="166" fontId="9" fillId="0" borderId="0" xfId="0" applyNumberFormat="1" applyFont="1"/>
    <xf numFmtId="0" fontId="10" fillId="0" borderId="0" xfId="0" applyFont="1" applyAlignment="1">
      <alignment horizontal="left"/>
    </xf>
    <xf numFmtId="166" fontId="10" fillId="0" borderId="0" xfId="0" applyNumberFormat="1" applyFont="1"/>
    <xf numFmtId="0" fontId="11" fillId="0" borderId="0" xfId="0" applyFont="1" applyAlignment="1">
      <alignment horizontal="left"/>
    </xf>
    <xf numFmtId="168" fontId="11" fillId="0" borderId="0" xfId="0" applyNumberFormat="1" applyFont="1"/>
    <xf numFmtId="168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E8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843C0C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85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166B2ED-340B-433B-B830-91D8D8AD59B6}">
  <we:reference id="wa200009404" version="1.0.0.5" store="en-US" storeType="OMEX"/>
  <we:alternateReferences>
    <we:reference id="WA200009404" version="1.0.0.5" store="WA200009404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topLeftCell="A15" zoomScaleNormal="100" workbookViewId="0">
      <selection activeCell="C40" sqref="C40"/>
    </sheetView>
  </sheetViews>
  <sheetFormatPr defaultColWidth="8.6640625" defaultRowHeight="14.4" x14ac:dyDescent="0.3"/>
  <cols>
    <col min="1" max="1" width="37" customWidth="1"/>
    <col min="2" max="2" width="13" customWidth="1"/>
    <col min="3" max="3" width="17" customWidth="1"/>
    <col min="4" max="4" width="21" customWidth="1"/>
  </cols>
  <sheetData>
    <row r="1" spans="1:4" ht="21.75" customHeight="1" x14ac:dyDescent="0.3">
      <c r="A1" s="5" t="s">
        <v>0</v>
      </c>
      <c r="B1" s="5"/>
      <c r="C1" s="5"/>
      <c r="D1" s="5"/>
    </row>
    <row r="3" spans="1:4" x14ac:dyDescent="0.3">
      <c r="A3" s="6" t="s">
        <v>1</v>
      </c>
      <c r="B3" s="6" t="s">
        <v>2</v>
      </c>
      <c r="C3" s="7" t="s">
        <v>3</v>
      </c>
      <c r="D3" s="8" t="s">
        <v>4</v>
      </c>
    </row>
    <row r="5" spans="1:4" x14ac:dyDescent="0.3">
      <c r="A5" s="4" t="s">
        <v>5</v>
      </c>
      <c r="B5" s="4"/>
      <c r="C5" s="4"/>
      <c r="D5" s="4"/>
    </row>
    <row r="6" spans="1:4" x14ac:dyDescent="0.3">
      <c r="A6" s="9" t="s">
        <v>6</v>
      </c>
      <c r="B6" s="9" t="s">
        <v>7</v>
      </c>
      <c r="C6" s="10">
        <v>2.2100000000000002E-2</v>
      </c>
      <c r="D6" s="10">
        <v>5.0000000000000001E-3</v>
      </c>
    </row>
    <row r="8" spans="1:4" x14ac:dyDescent="0.3">
      <c r="A8" s="4" t="s">
        <v>8</v>
      </c>
      <c r="B8" s="4"/>
      <c r="C8" s="4"/>
      <c r="D8" s="4"/>
    </row>
    <row r="9" spans="1:4" x14ac:dyDescent="0.3">
      <c r="A9" s="9" t="s">
        <v>9</v>
      </c>
      <c r="B9" s="9" t="s">
        <v>10</v>
      </c>
      <c r="C9" s="11">
        <v>50000</v>
      </c>
      <c r="D9" s="11">
        <v>40000</v>
      </c>
    </row>
    <row r="10" spans="1:4" x14ac:dyDescent="0.3">
      <c r="A10" s="9" t="s">
        <v>11</v>
      </c>
      <c r="B10" s="9" t="s">
        <v>7</v>
      </c>
      <c r="C10" s="10">
        <v>2.2100000000000002E-2</v>
      </c>
      <c r="D10" s="10">
        <v>5.0000000000000001E-3</v>
      </c>
    </row>
    <row r="11" spans="1:4" x14ac:dyDescent="0.3">
      <c r="A11" s="9" t="s">
        <v>12</v>
      </c>
      <c r="B11" s="9" t="s">
        <v>13</v>
      </c>
      <c r="C11" s="10">
        <v>2.5000000000000001E-2</v>
      </c>
      <c r="D11" s="10">
        <v>0.02</v>
      </c>
    </row>
    <row r="12" spans="1:4" x14ac:dyDescent="0.3">
      <c r="A12" s="9" t="s">
        <v>14</v>
      </c>
      <c r="B12" s="9" t="s">
        <v>15</v>
      </c>
      <c r="C12" s="12">
        <v>290</v>
      </c>
      <c r="D12" s="12">
        <v>260</v>
      </c>
    </row>
    <row r="14" spans="1:4" x14ac:dyDescent="0.3">
      <c r="A14" s="4" t="s">
        <v>16</v>
      </c>
      <c r="B14" s="4"/>
      <c r="C14" s="4"/>
      <c r="D14" s="4"/>
    </row>
    <row r="15" spans="1:4" x14ac:dyDescent="0.3">
      <c r="A15" s="9" t="s">
        <v>17</v>
      </c>
      <c r="B15" s="9" t="s">
        <v>18</v>
      </c>
      <c r="C15" s="11">
        <v>150</v>
      </c>
      <c r="D15" s="11">
        <v>120</v>
      </c>
    </row>
    <row r="16" spans="1:4" x14ac:dyDescent="0.3">
      <c r="A16" s="9" t="s">
        <v>19</v>
      </c>
      <c r="B16" s="9" t="s">
        <v>7</v>
      </c>
      <c r="C16" s="10">
        <v>1.4999999999999999E-2</v>
      </c>
      <c r="D16" s="10">
        <v>5.0000000000000001E-3</v>
      </c>
    </row>
    <row r="17" spans="1:4" x14ac:dyDescent="0.3">
      <c r="A17" s="9" t="s">
        <v>20</v>
      </c>
      <c r="B17" s="9" t="s">
        <v>21</v>
      </c>
      <c r="C17" s="13">
        <v>1.2</v>
      </c>
      <c r="D17" s="13">
        <v>1</v>
      </c>
    </row>
    <row r="18" spans="1:4" x14ac:dyDescent="0.3">
      <c r="A18" s="9" t="s">
        <v>14</v>
      </c>
      <c r="B18" s="9" t="s">
        <v>15</v>
      </c>
      <c r="C18" s="12">
        <v>950</v>
      </c>
      <c r="D18" s="12">
        <v>700</v>
      </c>
    </row>
    <row r="20" spans="1:4" x14ac:dyDescent="0.3">
      <c r="A20" s="4" t="s">
        <v>22</v>
      </c>
      <c r="B20" s="4"/>
      <c r="C20" s="4"/>
      <c r="D20" s="4"/>
    </row>
    <row r="21" spans="1:4" x14ac:dyDescent="0.3">
      <c r="A21" s="9" t="s">
        <v>23</v>
      </c>
      <c r="B21" s="9" t="s">
        <v>15</v>
      </c>
      <c r="C21" s="12">
        <v>600000</v>
      </c>
      <c r="D21" s="12">
        <v>500000</v>
      </c>
    </row>
    <row r="23" spans="1:4" x14ac:dyDescent="0.3">
      <c r="A23" s="4" t="s">
        <v>24</v>
      </c>
      <c r="B23" s="4"/>
      <c r="C23" s="4"/>
      <c r="D23" s="4"/>
    </row>
    <row r="24" spans="1:4" x14ac:dyDescent="0.3">
      <c r="A24" s="9" t="s">
        <v>25</v>
      </c>
      <c r="B24" s="9" t="s">
        <v>13</v>
      </c>
      <c r="C24" s="10">
        <v>0.52</v>
      </c>
      <c r="D24" s="10">
        <v>0.48</v>
      </c>
    </row>
    <row r="25" spans="1:4" x14ac:dyDescent="0.3">
      <c r="A25" s="9" t="s">
        <v>26</v>
      </c>
      <c r="B25" s="9" t="s">
        <v>13</v>
      </c>
      <c r="C25" s="10">
        <v>0.15</v>
      </c>
      <c r="D25" s="10">
        <v>0.15</v>
      </c>
    </row>
    <row r="26" spans="1:4" x14ac:dyDescent="0.3">
      <c r="A26" s="9" t="s">
        <v>27</v>
      </c>
      <c r="B26" s="9" t="s">
        <v>13</v>
      </c>
      <c r="C26" s="10">
        <v>0.1</v>
      </c>
      <c r="D26" s="10">
        <v>0.12</v>
      </c>
    </row>
    <row r="27" spans="1:4" x14ac:dyDescent="0.3">
      <c r="A27" s="9" t="s">
        <v>28</v>
      </c>
      <c r="B27" s="9" t="s">
        <v>15</v>
      </c>
      <c r="C27" s="12">
        <v>150000</v>
      </c>
      <c r="D27" s="12">
        <v>150000</v>
      </c>
    </row>
    <row r="28" spans="1:4" x14ac:dyDescent="0.3">
      <c r="A28" s="9" t="s">
        <v>29</v>
      </c>
      <c r="B28" s="9" t="s">
        <v>15</v>
      </c>
      <c r="C28" s="12">
        <v>5000</v>
      </c>
      <c r="D28" s="12">
        <v>5000</v>
      </c>
    </row>
    <row r="29" spans="1:4" x14ac:dyDescent="0.3">
      <c r="A29" s="9" t="s">
        <v>30</v>
      </c>
      <c r="B29" s="9" t="s">
        <v>15</v>
      </c>
      <c r="C29" s="12">
        <v>10000</v>
      </c>
      <c r="D29" s="12">
        <v>10000</v>
      </c>
    </row>
    <row r="31" spans="1:4" x14ac:dyDescent="0.3">
      <c r="A31" s="4" t="s">
        <v>31</v>
      </c>
      <c r="B31" s="4"/>
      <c r="C31" s="4"/>
      <c r="D31" s="4"/>
    </row>
    <row r="32" spans="1:4" x14ac:dyDescent="0.3">
      <c r="A32" s="9" t="s">
        <v>32</v>
      </c>
      <c r="B32" s="9" t="s">
        <v>33</v>
      </c>
      <c r="C32" s="11">
        <v>60</v>
      </c>
      <c r="D32" s="11">
        <v>75</v>
      </c>
    </row>
    <row r="33" spans="1:4" x14ac:dyDescent="0.3">
      <c r="A33" s="9" t="s">
        <v>34</v>
      </c>
      <c r="B33" s="9" t="s">
        <v>33</v>
      </c>
      <c r="C33" s="11">
        <v>70</v>
      </c>
      <c r="D33" s="11">
        <v>90</v>
      </c>
    </row>
    <row r="34" spans="1:4" x14ac:dyDescent="0.3">
      <c r="A34" s="9" t="s">
        <v>35</v>
      </c>
      <c r="B34" s="9" t="s">
        <v>33</v>
      </c>
      <c r="C34" s="11">
        <v>30</v>
      </c>
      <c r="D34" s="11">
        <v>30</v>
      </c>
    </row>
    <row r="35" spans="1:4" x14ac:dyDescent="0.3">
      <c r="A35" s="9" t="s">
        <v>36</v>
      </c>
      <c r="B35" s="9" t="s">
        <v>33</v>
      </c>
      <c r="C35" s="11">
        <v>45</v>
      </c>
      <c r="D35" s="11">
        <v>45</v>
      </c>
    </row>
    <row r="36" spans="1:4" x14ac:dyDescent="0.3">
      <c r="A36" s="9" t="s">
        <v>37</v>
      </c>
      <c r="B36" s="9" t="s">
        <v>33</v>
      </c>
      <c r="C36" s="11">
        <v>5</v>
      </c>
      <c r="D36" s="11">
        <v>7</v>
      </c>
    </row>
    <row r="38" spans="1:4" x14ac:dyDescent="0.3">
      <c r="A38" s="4" t="s">
        <v>38</v>
      </c>
      <c r="B38" s="4"/>
      <c r="C38" s="4"/>
      <c r="D38" s="4"/>
    </row>
    <row r="39" spans="1:4" x14ac:dyDescent="0.3">
      <c r="A39" s="9" t="s">
        <v>39</v>
      </c>
      <c r="B39" s="9" t="s">
        <v>15</v>
      </c>
      <c r="C39" s="12">
        <v>500000</v>
      </c>
      <c r="D39" s="12">
        <v>500000</v>
      </c>
    </row>
    <row r="40" spans="1:4" x14ac:dyDescent="0.3">
      <c r="A40" s="9" t="s">
        <v>40</v>
      </c>
      <c r="B40" s="9" t="s">
        <v>15</v>
      </c>
      <c r="C40" s="12">
        <v>800000</v>
      </c>
      <c r="D40" s="12">
        <v>800000</v>
      </c>
    </row>
    <row r="41" spans="1:4" x14ac:dyDescent="0.3">
      <c r="A41" s="24" t="s">
        <v>132</v>
      </c>
      <c r="B41" s="24" t="s">
        <v>15</v>
      </c>
      <c r="C41" s="26">
        <v>300000</v>
      </c>
      <c r="D41" s="26">
        <v>300000</v>
      </c>
    </row>
    <row r="44" spans="1:4" x14ac:dyDescent="0.3">
      <c r="A44" s="14" t="s">
        <v>41</v>
      </c>
    </row>
    <row r="45" spans="1:4" x14ac:dyDescent="0.3">
      <c r="A45" s="14" t="s">
        <v>42</v>
      </c>
    </row>
  </sheetData>
  <mergeCells count="8">
    <mergeCell ref="A23:D23"/>
    <mergeCell ref="A31:D31"/>
    <mergeCell ref="A38:D38"/>
    <mergeCell ref="A1:D1"/>
    <mergeCell ref="A5:D5"/>
    <mergeCell ref="A8:D8"/>
    <mergeCell ref="A14:D14"/>
    <mergeCell ref="A20:D2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topLeftCell="A23" zoomScaleNormal="100" workbookViewId="0">
      <selection activeCell="C38" sqref="C38"/>
    </sheetView>
  </sheetViews>
  <sheetFormatPr defaultColWidth="8.6640625" defaultRowHeight="14.4" x14ac:dyDescent="0.3"/>
  <cols>
    <col min="1" max="1" width="34" customWidth="1"/>
    <col min="2" max="2" width="8" customWidth="1"/>
    <col min="3" max="14" width="11" customWidth="1"/>
    <col min="15" max="15" width="13" customWidth="1"/>
  </cols>
  <sheetData>
    <row r="1" spans="1:15" ht="19.5" customHeight="1" x14ac:dyDescent="0.3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3">
      <c r="A2" s="6" t="s">
        <v>44</v>
      </c>
      <c r="C2" s="15" t="s">
        <v>45</v>
      </c>
      <c r="D2" s="15" t="s">
        <v>46</v>
      </c>
      <c r="E2" s="15" t="s">
        <v>47</v>
      </c>
      <c r="F2" s="15" t="s">
        <v>48</v>
      </c>
      <c r="G2" s="15" t="s">
        <v>49</v>
      </c>
      <c r="H2" s="15" t="s">
        <v>50</v>
      </c>
      <c r="I2" s="15" t="s">
        <v>51</v>
      </c>
      <c r="J2" s="15" t="s">
        <v>52</v>
      </c>
      <c r="K2" s="15" t="s">
        <v>53</v>
      </c>
      <c r="L2" s="15" t="s">
        <v>54</v>
      </c>
      <c r="M2" s="15" t="s">
        <v>55</v>
      </c>
      <c r="N2" s="15" t="s">
        <v>56</v>
      </c>
      <c r="O2" s="15" t="s">
        <v>57</v>
      </c>
    </row>
    <row r="4" spans="1:15" x14ac:dyDescent="0.3">
      <c r="A4" s="4" t="s">
        <v>58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">
      <c r="A5" s="9" t="s">
        <v>59</v>
      </c>
      <c r="C5" s="16">
        <f>Assumptions!$C$9*(1+Assumptions!$C$10)^0</f>
        <v>50000</v>
      </c>
      <c r="D5" s="16">
        <f>Assumptions!$C$9*(1+Assumptions!$C$10)^1</f>
        <v>51105</v>
      </c>
      <c r="E5" s="16">
        <f>Assumptions!$C$9*(1+Assumptions!$C$10)^2</f>
        <v>52234.4205</v>
      </c>
      <c r="F5" s="16">
        <f>Assumptions!$C$9*(1+Assumptions!$C$10)^3</f>
        <v>53388.801193050007</v>
      </c>
      <c r="G5" s="16">
        <f>Assumptions!$C$9*(1+Assumptions!$C$10)^4</f>
        <v>54568.693699416406</v>
      </c>
      <c r="H5" s="16">
        <f>Assumptions!$C$9*(1+Assumptions!$C$10)^5</f>
        <v>55774.661830173514</v>
      </c>
      <c r="I5" s="16">
        <f>Assumptions!$C$9*(1+Assumptions!$C$10)^6</f>
        <v>57007.281856620342</v>
      </c>
      <c r="J5" s="16">
        <f>Assumptions!$C$9*(1+Assumptions!$C$10)^7</f>
        <v>58267.14278565166</v>
      </c>
      <c r="K5" s="16">
        <f>Assumptions!$C$9*(1+Assumptions!$C$10)^8</f>
        <v>59554.846641214557</v>
      </c>
      <c r="L5" s="16">
        <f>Assumptions!$C$9*(1+Assumptions!$C$10)^9</f>
        <v>60871.008751985399</v>
      </c>
      <c r="M5" s="16">
        <f>Assumptions!$C$9*(1+Assumptions!$C$10)^10</f>
        <v>62216.258045404269</v>
      </c>
      <c r="N5" s="16">
        <f>Assumptions!$C$9*(1+Assumptions!$C$10)^11</f>
        <v>63591.237348207716</v>
      </c>
    </row>
    <row r="6" spans="1:15" x14ac:dyDescent="0.3">
      <c r="A6" s="9" t="s">
        <v>12</v>
      </c>
      <c r="C6" s="17">
        <f>Assumptions!$C$11</f>
        <v>2.5000000000000001E-2</v>
      </c>
      <c r="D6" s="17">
        <f>Assumptions!$C$11</f>
        <v>2.5000000000000001E-2</v>
      </c>
      <c r="E6" s="17">
        <f>Assumptions!$C$11</f>
        <v>2.5000000000000001E-2</v>
      </c>
      <c r="F6" s="17">
        <f>Assumptions!$C$11</f>
        <v>2.5000000000000001E-2</v>
      </c>
      <c r="G6" s="17">
        <f>Assumptions!$C$11</f>
        <v>2.5000000000000001E-2</v>
      </c>
      <c r="H6" s="17">
        <f>Assumptions!$C$11</f>
        <v>2.5000000000000001E-2</v>
      </c>
      <c r="I6" s="17">
        <f>Assumptions!$C$11</f>
        <v>2.5000000000000001E-2</v>
      </c>
      <c r="J6" s="17">
        <f>Assumptions!$C$11</f>
        <v>2.5000000000000001E-2</v>
      </c>
      <c r="K6" s="17">
        <f>Assumptions!$C$11</f>
        <v>2.5000000000000001E-2</v>
      </c>
      <c r="L6" s="17">
        <f>Assumptions!$C$11</f>
        <v>2.5000000000000001E-2</v>
      </c>
      <c r="M6" s="17">
        <f>Assumptions!$C$11</f>
        <v>2.5000000000000001E-2</v>
      </c>
      <c r="N6" s="17">
        <f>Assumptions!$C$11</f>
        <v>2.5000000000000001E-2</v>
      </c>
    </row>
    <row r="7" spans="1:15" x14ac:dyDescent="0.3">
      <c r="A7" s="9" t="s">
        <v>60</v>
      </c>
      <c r="C7" s="16">
        <f t="shared" ref="C7:N7" si="0">C5*C6</f>
        <v>1250</v>
      </c>
      <c r="D7" s="16">
        <f t="shared" si="0"/>
        <v>1277.625</v>
      </c>
      <c r="E7" s="16">
        <f t="shared" si="0"/>
        <v>1305.8605125000001</v>
      </c>
      <c r="F7" s="16">
        <f t="shared" si="0"/>
        <v>1334.7200298262503</v>
      </c>
      <c r="G7" s="16">
        <f t="shared" si="0"/>
        <v>1364.2173424854102</v>
      </c>
      <c r="H7" s="16">
        <f t="shared" si="0"/>
        <v>1394.3665457543379</v>
      </c>
      <c r="I7" s="16">
        <f t="shared" si="0"/>
        <v>1425.1820464155087</v>
      </c>
      <c r="J7" s="16">
        <f t="shared" si="0"/>
        <v>1456.6785696412917</v>
      </c>
      <c r="K7" s="16">
        <f t="shared" si="0"/>
        <v>1488.8711660303641</v>
      </c>
      <c r="L7" s="16">
        <f t="shared" si="0"/>
        <v>1521.775218799635</v>
      </c>
      <c r="M7" s="16">
        <f t="shared" si="0"/>
        <v>1555.4064511351069</v>
      </c>
      <c r="N7" s="16">
        <f t="shared" si="0"/>
        <v>1589.7809337051931</v>
      </c>
    </row>
    <row r="8" spans="1:15" x14ac:dyDescent="0.3">
      <c r="A8" s="9" t="s">
        <v>61</v>
      </c>
      <c r="C8" s="18">
        <f>Assumptions!$C$12</f>
        <v>290</v>
      </c>
      <c r="D8" s="18">
        <f>Assumptions!$C$12</f>
        <v>290</v>
      </c>
      <c r="E8" s="18">
        <f>Assumptions!$C$12</f>
        <v>290</v>
      </c>
      <c r="F8" s="18">
        <f>Assumptions!$C$12</f>
        <v>290</v>
      </c>
      <c r="G8" s="18">
        <f>Assumptions!$C$12</f>
        <v>290</v>
      </c>
      <c r="H8" s="18">
        <f>Assumptions!$C$12</f>
        <v>290</v>
      </c>
      <c r="I8" s="18">
        <f>Assumptions!$C$12</f>
        <v>290</v>
      </c>
      <c r="J8" s="18">
        <f>Assumptions!$C$12</f>
        <v>290</v>
      </c>
      <c r="K8" s="18">
        <f>Assumptions!$C$12</f>
        <v>290</v>
      </c>
      <c r="L8" s="18">
        <f>Assumptions!$C$12</f>
        <v>290</v>
      </c>
      <c r="M8" s="18">
        <f>Assumptions!$C$12</f>
        <v>290</v>
      </c>
      <c r="N8" s="18">
        <f>Assumptions!$C$12</f>
        <v>290</v>
      </c>
    </row>
    <row r="9" spans="1:15" x14ac:dyDescent="0.3">
      <c r="A9" s="6" t="s">
        <v>62</v>
      </c>
      <c r="C9" s="19">
        <f t="shared" ref="C9:N9" si="1">C7*C8</f>
        <v>362500</v>
      </c>
      <c r="D9" s="19">
        <f t="shared" si="1"/>
        <v>370511.25</v>
      </c>
      <c r="E9" s="19">
        <f t="shared" si="1"/>
        <v>378699.54862500005</v>
      </c>
      <c r="F9" s="19">
        <f t="shared" si="1"/>
        <v>387068.80864961259</v>
      </c>
      <c r="G9" s="19">
        <f t="shared" si="1"/>
        <v>395623.02932076895</v>
      </c>
      <c r="H9" s="19">
        <f t="shared" si="1"/>
        <v>404366.29826875799</v>
      </c>
      <c r="I9" s="19">
        <f t="shared" si="1"/>
        <v>413302.79346049752</v>
      </c>
      <c r="J9" s="19">
        <f t="shared" si="1"/>
        <v>422436.78519597457</v>
      </c>
      <c r="K9" s="19">
        <f t="shared" si="1"/>
        <v>431772.63814880559</v>
      </c>
      <c r="L9" s="19">
        <f t="shared" si="1"/>
        <v>441314.81345189415</v>
      </c>
      <c r="M9" s="19">
        <f t="shared" si="1"/>
        <v>451067.87082918099</v>
      </c>
      <c r="N9" s="19">
        <f t="shared" si="1"/>
        <v>461036.47077450599</v>
      </c>
      <c r="O9" s="19">
        <f>SUM(C9:N9)</f>
        <v>4919700.3067249991</v>
      </c>
    </row>
    <row r="11" spans="1:15" x14ac:dyDescent="0.3">
      <c r="A11" s="4" t="s">
        <v>63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3">
      <c r="A12" s="9" t="s">
        <v>64</v>
      </c>
      <c r="C12" s="16">
        <f>Assumptions!$C$15*(1+Assumptions!$C$16)^0</f>
        <v>150</v>
      </c>
      <c r="D12" s="16">
        <f>Assumptions!$C$15*(1+Assumptions!$C$16)^1</f>
        <v>152.24999999999997</v>
      </c>
      <c r="E12" s="16">
        <f>Assumptions!$C$15*(1+Assumptions!$C$16)^2</f>
        <v>154.53374999999997</v>
      </c>
      <c r="F12" s="16">
        <f>Assumptions!$C$15*(1+Assumptions!$C$16)^3</f>
        <v>156.85175624999994</v>
      </c>
      <c r="G12" s="16">
        <f>Assumptions!$C$15*(1+Assumptions!$C$16)^4</f>
        <v>159.20453259374992</v>
      </c>
      <c r="H12" s="16">
        <f>Assumptions!$C$15*(1+Assumptions!$C$16)^5</f>
        <v>161.59260058265613</v>
      </c>
      <c r="I12" s="16">
        <f>Assumptions!$C$15*(1+Assumptions!$C$16)^6</f>
        <v>164.01648959139595</v>
      </c>
      <c r="J12" s="16">
        <f>Assumptions!$C$15*(1+Assumptions!$C$16)^7</f>
        <v>166.47673693526687</v>
      </c>
      <c r="K12" s="16">
        <f>Assumptions!$C$15*(1+Assumptions!$C$16)^8</f>
        <v>168.97388798929586</v>
      </c>
      <c r="L12" s="16">
        <f>Assumptions!$C$15*(1+Assumptions!$C$16)^9</f>
        <v>171.50849630913527</v>
      </c>
      <c r="M12" s="16">
        <f>Assumptions!$C$15*(1+Assumptions!$C$16)^10</f>
        <v>174.08112375377229</v>
      </c>
      <c r="N12" s="16">
        <f>Assumptions!$C$15*(1+Assumptions!$C$16)^11</f>
        <v>176.69234061007884</v>
      </c>
    </row>
    <row r="13" spans="1:15" x14ac:dyDescent="0.3">
      <c r="A13" s="9" t="s">
        <v>65</v>
      </c>
      <c r="C13" s="20">
        <f>Assumptions!$C$17</f>
        <v>1.2</v>
      </c>
      <c r="D13" s="20">
        <f>Assumptions!$C$17</f>
        <v>1.2</v>
      </c>
      <c r="E13" s="20">
        <f>Assumptions!$C$17</f>
        <v>1.2</v>
      </c>
      <c r="F13" s="20">
        <f>Assumptions!$C$17</f>
        <v>1.2</v>
      </c>
      <c r="G13" s="20">
        <f>Assumptions!$C$17</f>
        <v>1.2</v>
      </c>
      <c r="H13" s="20">
        <f>Assumptions!$C$17</f>
        <v>1.2</v>
      </c>
      <c r="I13" s="20">
        <f>Assumptions!$C$17</f>
        <v>1.2</v>
      </c>
      <c r="J13" s="20">
        <f>Assumptions!$C$17</f>
        <v>1.2</v>
      </c>
      <c r="K13" s="20">
        <f>Assumptions!$C$17</f>
        <v>1.2</v>
      </c>
      <c r="L13" s="20">
        <f>Assumptions!$C$17</f>
        <v>1.2</v>
      </c>
      <c r="M13" s="20">
        <f>Assumptions!$C$17</f>
        <v>1.2</v>
      </c>
      <c r="N13" s="20">
        <f>Assumptions!$C$17</f>
        <v>1.2</v>
      </c>
    </row>
    <row r="14" spans="1:15" x14ac:dyDescent="0.3">
      <c r="A14" s="9" t="s">
        <v>66</v>
      </c>
      <c r="C14" s="16">
        <f t="shared" ref="C14:N14" si="2">C12*C13</f>
        <v>180</v>
      </c>
      <c r="D14" s="16">
        <f t="shared" si="2"/>
        <v>182.69999999999996</v>
      </c>
      <c r="E14" s="16">
        <f t="shared" si="2"/>
        <v>185.44049999999996</v>
      </c>
      <c r="F14" s="16">
        <f t="shared" si="2"/>
        <v>188.22210749999991</v>
      </c>
      <c r="G14" s="16">
        <f t="shared" si="2"/>
        <v>191.04543911249991</v>
      </c>
      <c r="H14" s="16">
        <f t="shared" si="2"/>
        <v>193.91112069918736</v>
      </c>
      <c r="I14" s="16">
        <f t="shared" si="2"/>
        <v>196.81978750967514</v>
      </c>
      <c r="J14" s="16">
        <f t="shared" si="2"/>
        <v>199.77208432232024</v>
      </c>
      <c r="K14" s="16">
        <f t="shared" si="2"/>
        <v>202.76866558715503</v>
      </c>
      <c r="L14" s="16">
        <f t="shared" si="2"/>
        <v>205.81019557096232</v>
      </c>
      <c r="M14" s="16">
        <f t="shared" si="2"/>
        <v>208.89734850452675</v>
      </c>
      <c r="N14" s="16">
        <f t="shared" si="2"/>
        <v>212.03080873209461</v>
      </c>
    </row>
    <row r="15" spans="1:15" x14ac:dyDescent="0.3">
      <c r="A15" s="9" t="s">
        <v>61</v>
      </c>
      <c r="C15" s="18">
        <f>Assumptions!$C$18</f>
        <v>950</v>
      </c>
      <c r="D15" s="18">
        <f>Assumptions!$C$18</f>
        <v>950</v>
      </c>
      <c r="E15" s="18">
        <f>Assumptions!$C$18</f>
        <v>950</v>
      </c>
      <c r="F15" s="18">
        <f>Assumptions!$C$18</f>
        <v>950</v>
      </c>
      <c r="G15" s="18">
        <f>Assumptions!$C$18</f>
        <v>950</v>
      </c>
      <c r="H15" s="18">
        <f>Assumptions!$C$18</f>
        <v>950</v>
      </c>
      <c r="I15" s="18">
        <f>Assumptions!$C$18</f>
        <v>950</v>
      </c>
      <c r="J15" s="18">
        <f>Assumptions!$C$18</f>
        <v>950</v>
      </c>
      <c r="K15" s="18">
        <f>Assumptions!$C$18</f>
        <v>950</v>
      </c>
      <c r="L15" s="18">
        <f>Assumptions!$C$18</f>
        <v>950</v>
      </c>
      <c r="M15" s="18">
        <f>Assumptions!$C$18</f>
        <v>950</v>
      </c>
      <c r="N15" s="18">
        <f>Assumptions!$C$18</f>
        <v>950</v>
      </c>
    </row>
    <row r="16" spans="1:15" x14ac:dyDescent="0.3">
      <c r="A16" s="6" t="s">
        <v>67</v>
      </c>
      <c r="C16" s="19">
        <f t="shared" ref="C16:N16" si="3">C14*C15</f>
        <v>171000</v>
      </c>
      <c r="D16" s="19">
        <f t="shared" si="3"/>
        <v>173564.99999999997</v>
      </c>
      <c r="E16" s="19">
        <f t="shared" si="3"/>
        <v>176168.47499999995</v>
      </c>
      <c r="F16" s="19">
        <f t="shared" si="3"/>
        <v>178811.00212499991</v>
      </c>
      <c r="G16" s="19">
        <f t="shared" si="3"/>
        <v>181493.1671568749</v>
      </c>
      <c r="H16" s="19">
        <f t="shared" si="3"/>
        <v>184215.564664228</v>
      </c>
      <c r="I16" s="19">
        <f t="shared" si="3"/>
        <v>186978.79813419137</v>
      </c>
      <c r="J16" s="19">
        <f t="shared" si="3"/>
        <v>189783.48010620422</v>
      </c>
      <c r="K16" s="19">
        <f t="shared" si="3"/>
        <v>192630.23230779727</v>
      </c>
      <c r="L16" s="19">
        <f t="shared" si="3"/>
        <v>195519.68579241421</v>
      </c>
      <c r="M16" s="19">
        <f t="shared" si="3"/>
        <v>198452.4810793004</v>
      </c>
      <c r="N16" s="19">
        <f t="shared" si="3"/>
        <v>201429.26829548989</v>
      </c>
      <c r="O16" s="19">
        <f>SUM(C16:N16)</f>
        <v>2230047.1546615004</v>
      </c>
    </row>
    <row r="18" spans="1:15" x14ac:dyDescent="0.3">
      <c r="A18" s="9" t="s">
        <v>68</v>
      </c>
      <c r="C18" s="18">
        <f>Assumptions!$C$21*(1+Assumptions!$C$6)^0</f>
        <v>600000</v>
      </c>
      <c r="D18" s="18">
        <f>Assumptions!$C$21*(1+Assumptions!$C$6)^1</f>
        <v>613260</v>
      </c>
      <c r="E18" s="18">
        <f>Assumptions!$C$21*(1+Assumptions!$C$6)^2</f>
        <v>626813.04599999997</v>
      </c>
      <c r="F18" s="18">
        <f>Assumptions!$C$21*(1+Assumptions!$C$6)^3</f>
        <v>640665.61431660003</v>
      </c>
      <c r="G18" s="18">
        <f>Assumptions!$C$21*(1+Assumptions!$C$6)^4</f>
        <v>654824.32439299684</v>
      </c>
      <c r="H18" s="18">
        <f>Assumptions!$C$21*(1+Assumptions!$C$6)^5</f>
        <v>669295.94196208217</v>
      </c>
      <c r="I18" s="18">
        <f>Assumptions!$C$21*(1+Assumptions!$C$6)^6</f>
        <v>684087.38227944402</v>
      </c>
      <c r="J18" s="18">
        <f>Assumptions!$C$21*(1+Assumptions!$C$6)^7</f>
        <v>699205.71342781989</v>
      </c>
      <c r="K18" s="18">
        <f>Assumptions!$C$21*(1+Assumptions!$C$6)^8</f>
        <v>714658.15969457466</v>
      </c>
      <c r="L18" s="18">
        <f>Assumptions!$C$21*(1+Assumptions!$C$6)^9</f>
        <v>730452.10502382484</v>
      </c>
      <c r="M18" s="18">
        <f>Assumptions!$C$21*(1+Assumptions!$C$6)^10</f>
        <v>746595.0965448512</v>
      </c>
      <c r="N18" s="18">
        <f>Assumptions!$C$21*(1+Assumptions!$C$6)^11</f>
        <v>763094.84817849263</v>
      </c>
      <c r="O18" s="18">
        <f>SUM(C18:N18)</f>
        <v>8142952.2318206867</v>
      </c>
    </row>
    <row r="19" spans="1:15" x14ac:dyDescent="0.3">
      <c r="A19" s="6" t="s">
        <v>69</v>
      </c>
      <c r="C19" s="19">
        <f t="shared" ref="C19:N19" si="4">C9+C16+C18</f>
        <v>1133500</v>
      </c>
      <c r="D19" s="19">
        <f t="shared" si="4"/>
        <v>1157336.25</v>
      </c>
      <c r="E19" s="19">
        <f t="shared" si="4"/>
        <v>1181681.069625</v>
      </c>
      <c r="F19" s="19">
        <f t="shared" si="4"/>
        <v>1206545.4250912126</v>
      </c>
      <c r="G19" s="19">
        <f t="shared" si="4"/>
        <v>1231940.5208706409</v>
      </c>
      <c r="H19" s="19">
        <f t="shared" si="4"/>
        <v>1257877.8048950681</v>
      </c>
      <c r="I19" s="19">
        <f t="shared" si="4"/>
        <v>1284368.9738741328</v>
      </c>
      <c r="J19" s="19">
        <f t="shared" si="4"/>
        <v>1311425.9787299987</v>
      </c>
      <c r="K19" s="19">
        <f t="shared" si="4"/>
        <v>1339061.0301511777</v>
      </c>
      <c r="L19" s="19">
        <f t="shared" si="4"/>
        <v>1367286.6042681332</v>
      </c>
      <c r="M19" s="19">
        <f t="shared" si="4"/>
        <v>1396115.4484533328</v>
      </c>
      <c r="N19" s="19">
        <f t="shared" si="4"/>
        <v>1425560.5872484886</v>
      </c>
      <c r="O19" s="19">
        <f>SUM(C19:N19)</f>
        <v>15292699.693207186</v>
      </c>
    </row>
    <row r="21" spans="1:15" x14ac:dyDescent="0.3">
      <c r="A21" s="4" t="s">
        <v>70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3">
      <c r="A22" s="9" t="s">
        <v>71</v>
      </c>
      <c r="C22" s="18">
        <f t="shared" ref="C22:N22" si="5">C19</f>
        <v>1133500</v>
      </c>
      <c r="D22" s="18">
        <f t="shared" si="5"/>
        <v>1157336.25</v>
      </c>
      <c r="E22" s="18">
        <f t="shared" si="5"/>
        <v>1181681.069625</v>
      </c>
      <c r="F22" s="18">
        <f t="shared" si="5"/>
        <v>1206545.4250912126</v>
      </c>
      <c r="G22" s="18">
        <f t="shared" si="5"/>
        <v>1231940.5208706409</v>
      </c>
      <c r="H22" s="18">
        <f t="shared" si="5"/>
        <v>1257877.8048950681</v>
      </c>
      <c r="I22" s="18">
        <f t="shared" si="5"/>
        <v>1284368.9738741328</v>
      </c>
      <c r="J22" s="18">
        <f t="shared" si="5"/>
        <v>1311425.9787299987</v>
      </c>
      <c r="K22" s="18">
        <f t="shared" si="5"/>
        <v>1339061.0301511777</v>
      </c>
      <c r="L22" s="18">
        <f t="shared" si="5"/>
        <v>1367286.6042681332</v>
      </c>
      <c r="M22" s="18">
        <f t="shared" si="5"/>
        <v>1396115.4484533328</v>
      </c>
      <c r="N22" s="18">
        <f t="shared" si="5"/>
        <v>1425560.5872484886</v>
      </c>
      <c r="O22" s="18">
        <f>SUM(C22:N22)</f>
        <v>15292699.693207186</v>
      </c>
    </row>
    <row r="23" spans="1:15" x14ac:dyDescent="0.3">
      <c r="A23" s="9" t="s">
        <v>72</v>
      </c>
      <c r="C23" s="18">
        <f>-C22*(1-Assumptions!$C$24)</f>
        <v>-544080</v>
      </c>
      <c r="D23" s="18">
        <f>-D22*(1-Assumptions!$C$24)</f>
        <v>-555521.4</v>
      </c>
      <c r="E23" s="18">
        <f>-E22*(1-Assumptions!$C$24)</f>
        <v>-567206.91342</v>
      </c>
      <c r="F23" s="18">
        <f>-F22*(1-Assumptions!$C$24)</f>
        <v>-579141.80404378206</v>
      </c>
      <c r="G23" s="18">
        <f>-G22*(1-Assumptions!$C$24)</f>
        <v>-591331.45001790754</v>
      </c>
      <c r="H23" s="18">
        <f>-H22*(1-Assumptions!$C$24)</f>
        <v>-603781.3463496326</v>
      </c>
      <c r="I23" s="18">
        <f>-I22*(1-Assumptions!$C$24)</f>
        <v>-616497.10745958379</v>
      </c>
      <c r="J23" s="18">
        <f>-J22*(1-Assumptions!$C$24)</f>
        <v>-629484.46979039931</v>
      </c>
      <c r="K23" s="18">
        <f>-K22*(1-Assumptions!$C$24)</f>
        <v>-642749.29447256529</v>
      </c>
      <c r="L23" s="18">
        <f>-L22*(1-Assumptions!$C$24)</f>
        <v>-656297.57004870393</v>
      </c>
      <c r="M23" s="18">
        <f>-M22*(1-Assumptions!$C$24)</f>
        <v>-670135.41525759967</v>
      </c>
      <c r="N23" s="18">
        <f>-N22*(1-Assumptions!$C$24)</f>
        <v>-684269.08187927445</v>
      </c>
      <c r="O23" s="18">
        <f>SUM(C23:N23)</f>
        <v>-7340495.8527394496</v>
      </c>
    </row>
    <row r="24" spans="1:15" x14ac:dyDescent="0.3">
      <c r="A24" s="6" t="s">
        <v>73</v>
      </c>
      <c r="C24" s="19">
        <f t="shared" ref="C24:N24" si="6">C22+C23</f>
        <v>589420</v>
      </c>
      <c r="D24" s="19">
        <f t="shared" si="6"/>
        <v>601814.85</v>
      </c>
      <c r="E24" s="19">
        <f t="shared" si="6"/>
        <v>614474.15620500001</v>
      </c>
      <c r="F24" s="19">
        <f t="shared" si="6"/>
        <v>627403.62104743056</v>
      </c>
      <c r="G24" s="19">
        <f t="shared" si="6"/>
        <v>640609.07085273333</v>
      </c>
      <c r="H24" s="19">
        <f t="shared" si="6"/>
        <v>654096.45854543545</v>
      </c>
      <c r="I24" s="19">
        <f t="shared" si="6"/>
        <v>667871.86641454906</v>
      </c>
      <c r="J24" s="19">
        <f t="shared" si="6"/>
        <v>681941.50893959939</v>
      </c>
      <c r="K24" s="19">
        <f t="shared" si="6"/>
        <v>696311.73567861237</v>
      </c>
      <c r="L24" s="19">
        <f t="shared" si="6"/>
        <v>710989.03421942925</v>
      </c>
      <c r="M24" s="19">
        <f t="shared" si="6"/>
        <v>725980.03319573309</v>
      </c>
      <c r="N24" s="19">
        <f t="shared" si="6"/>
        <v>741291.50536921411</v>
      </c>
      <c r="O24" s="19">
        <f>SUM(C24:N24)</f>
        <v>7952203.8404677361</v>
      </c>
    </row>
    <row r="25" spans="1:15" x14ac:dyDescent="0.3">
      <c r="A25" s="9" t="s">
        <v>74</v>
      </c>
      <c r="C25" s="17">
        <f t="shared" ref="C25:N25" si="7">IFERROR(C24/C22,0)</f>
        <v>0.52</v>
      </c>
      <c r="D25" s="17">
        <f t="shared" si="7"/>
        <v>0.52</v>
      </c>
      <c r="E25" s="17">
        <f t="shared" si="7"/>
        <v>0.52</v>
      </c>
      <c r="F25" s="17">
        <f t="shared" si="7"/>
        <v>0.52</v>
      </c>
      <c r="G25" s="17">
        <f t="shared" si="7"/>
        <v>0.52</v>
      </c>
      <c r="H25" s="17">
        <f t="shared" si="7"/>
        <v>0.52</v>
      </c>
      <c r="I25" s="17">
        <f t="shared" si="7"/>
        <v>0.52</v>
      </c>
      <c r="J25" s="17">
        <f t="shared" si="7"/>
        <v>0.52</v>
      </c>
      <c r="K25" s="17">
        <f t="shared" si="7"/>
        <v>0.52</v>
      </c>
      <c r="L25" s="17">
        <f t="shared" si="7"/>
        <v>0.52</v>
      </c>
      <c r="M25" s="17">
        <f t="shared" si="7"/>
        <v>0.52</v>
      </c>
      <c r="N25" s="17">
        <f t="shared" si="7"/>
        <v>0.52</v>
      </c>
      <c r="O25" s="17">
        <f>IFERROR(SUM(C24:N24)/SUM(C22:N22),0)</f>
        <v>0.52</v>
      </c>
    </row>
    <row r="27" spans="1:15" x14ac:dyDescent="0.3">
      <c r="A27" s="9" t="s">
        <v>75</v>
      </c>
      <c r="C27" s="18">
        <f>-C22*Assumptions!$C$25</f>
        <v>-170025</v>
      </c>
      <c r="D27" s="18">
        <f>-D22*Assumptions!$C$25</f>
        <v>-173600.4375</v>
      </c>
      <c r="E27" s="18">
        <f>-E22*Assumptions!$C$25</f>
        <v>-177252.16044375001</v>
      </c>
      <c r="F27" s="18">
        <f>-F22*Assumptions!$C$25</f>
        <v>-180981.81376368189</v>
      </c>
      <c r="G27" s="18">
        <f>-G22*Assumptions!$C$25</f>
        <v>-184791.07813059611</v>
      </c>
      <c r="H27" s="18">
        <f>-H22*Assumptions!$C$25</f>
        <v>-188681.6707342602</v>
      </c>
      <c r="I27" s="18">
        <f>-I22*Assumptions!$C$25</f>
        <v>-192655.34608111993</v>
      </c>
      <c r="J27" s="18">
        <f>-J22*Assumptions!$C$25</f>
        <v>-196713.8968094998</v>
      </c>
      <c r="K27" s="18">
        <f>-K22*Assumptions!$C$25</f>
        <v>-200859.15452267663</v>
      </c>
      <c r="L27" s="18">
        <f>-L22*Assumptions!$C$25</f>
        <v>-205092.99064021997</v>
      </c>
      <c r="M27" s="18">
        <f>-M22*Assumptions!$C$25</f>
        <v>-209417.3172679999</v>
      </c>
      <c r="N27" s="18">
        <f>-N22*Assumptions!$C$25</f>
        <v>-213834.08808727327</v>
      </c>
      <c r="O27" s="18">
        <f>SUM(C27:N27)</f>
        <v>-2293904.9539810778</v>
      </c>
    </row>
    <row r="28" spans="1:15" x14ac:dyDescent="0.3">
      <c r="A28" s="9" t="s">
        <v>76</v>
      </c>
      <c r="C28" s="18">
        <f>-C22*Assumptions!$C$26</f>
        <v>-113350</v>
      </c>
      <c r="D28" s="18">
        <f>-D22*Assumptions!$C$26</f>
        <v>-115733.625</v>
      </c>
      <c r="E28" s="18">
        <f>-E22*Assumptions!$C$26</f>
        <v>-118168.10696250001</v>
      </c>
      <c r="F28" s="18">
        <f>-F22*Assumptions!$C$26</f>
        <v>-120654.54250912127</v>
      </c>
      <c r="G28" s="18">
        <f>-G22*Assumptions!$C$26</f>
        <v>-123194.05208706409</v>
      </c>
      <c r="H28" s="18">
        <f>-H22*Assumptions!$C$26</f>
        <v>-125787.78048950681</v>
      </c>
      <c r="I28" s="18">
        <f>-I22*Assumptions!$C$26</f>
        <v>-128436.89738741329</v>
      </c>
      <c r="J28" s="18">
        <f>-J22*Assumptions!$C$26</f>
        <v>-131142.59787299988</v>
      </c>
      <c r="K28" s="18">
        <f>-K22*Assumptions!$C$26</f>
        <v>-133906.10301511778</v>
      </c>
      <c r="L28" s="18">
        <f>-L22*Assumptions!$C$26</f>
        <v>-136728.66042681332</v>
      </c>
      <c r="M28" s="18">
        <f>-M22*Assumptions!$C$26</f>
        <v>-139611.54484533329</v>
      </c>
      <c r="N28" s="18">
        <f>-N22*Assumptions!$C$26</f>
        <v>-142556.05872484887</v>
      </c>
      <c r="O28" s="18">
        <f>SUM(C28:N28)</f>
        <v>-1529269.9693207187</v>
      </c>
    </row>
    <row r="29" spans="1:15" x14ac:dyDescent="0.3">
      <c r="A29" s="9" t="s">
        <v>77</v>
      </c>
      <c r="C29" s="18">
        <f>-Assumptions!$C$27</f>
        <v>-150000</v>
      </c>
      <c r="D29" s="18">
        <f>-Assumptions!$C$27</f>
        <v>-150000</v>
      </c>
      <c r="E29" s="18">
        <f>-Assumptions!$C$27</f>
        <v>-150000</v>
      </c>
      <c r="F29" s="18">
        <f>-Assumptions!$C$27</f>
        <v>-150000</v>
      </c>
      <c r="G29" s="18">
        <f>-Assumptions!$C$27</f>
        <v>-150000</v>
      </c>
      <c r="H29" s="18">
        <f>-Assumptions!$C$27</f>
        <v>-150000</v>
      </c>
      <c r="I29" s="18">
        <f>-Assumptions!$C$27</f>
        <v>-150000</v>
      </c>
      <c r="J29" s="18">
        <f>-Assumptions!$C$27</f>
        <v>-150000</v>
      </c>
      <c r="K29" s="18">
        <f>-Assumptions!$C$27</f>
        <v>-150000</v>
      </c>
      <c r="L29" s="18">
        <f>-Assumptions!$C$27</f>
        <v>-150000</v>
      </c>
      <c r="M29" s="18">
        <f>-Assumptions!$C$27</f>
        <v>-150000</v>
      </c>
      <c r="N29" s="18">
        <f>-Assumptions!$C$27</f>
        <v>-150000</v>
      </c>
      <c r="O29" s="18">
        <f>SUM(C29:N29)</f>
        <v>-1800000</v>
      </c>
    </row>
    <row r="30" spans="1:15" x14ac:dyDescent="0.3">
      <c r="A30" s="6" t="s">
        <v>78</v>
      </c>
      <c r="C30" s="19">
        <f t="shared" ref="C30:N30" si="8">C27+C28+C29</f>
        <v>-433375</v>
      </c>
      <c r="D30" s="19">
        <f t="shared" si="8"/>
        <v>-439334.0625</v>
      </c>
      <c r="E30" s="19">
        <f t="shared" si="8"/>
        <v>-445420.26740625</v>
      </c>
      <c r="F30" s="19">
        <f t="shared" si="8"/>
        <v>-451636.35627280315</v>
      </c>
      <c r="G30" s="19">
        <f t="shared" si="8"/>
        <v>-457985.13021766022</v>
      </c>
      <c r="H30" s="19">
        <f t="shared" si="8"/>
        <v>-464469.45122376701</v>
      </c>
      <c r="I30" s="19">
        <f t="shared" si="8"/>
        <v>-471092.24346853321</v>
      </c>
      <c r="J30" s="19">
        <f t="shared" si="8"/>
        <v>-477856.49468249967</v>
      </c>
      <c r="K30" s="19">
        <f t="shared" si="8"/>
        <v>-484765.25753779442</v>
      </c>
      <c r="L30" s="19">
        <f t="shared" si="8"/>
        <v>-491821.65106703329</v>
      </c>
      <c r="M30" s="19">
        <f t="shared" si="8"/>
        <v>-499028.86211333319</v>
      </c>
      <c r="N30" s="19">
        <f t="shared" si="8"/>
        <v>-506390.14681212214</v>
      </c>
      <c r="O30" s="19">
        <f>SUM(C30:N30)</f>
        <v>-5623174.9233017964</v>
      </c>
    </row>
    <row r="32" spans="1:15" x14ac:dyDescent="0.3">
      <c r="A32" s="6" t="s">
        <v>79</v>
      </c>
      <c r="C32" s="19">
        <f t="shared" ref="C32:N32" si="9">C24+C30</f>
        <v>156045</v>
      </c>
      <c r="D32" s="19">
        <f t="shared" si="9"/>
        <v>162480.78749999998</v>
      </c>
      <c r="E32" s="19">
        <f t="shared" si="9"/>
        <v>169053.88879875001</v>
      </c>
      <c r="F32" s="19">
        <f t="shared" si="9"/>
        <v>175767.2647746274</v>
      </c>
      <c r="G32" s="19">
        <f t="shared" si="9"/>
        <v>182623.94063507312</v>
      </c>
      <c r="H32" s="19">
        <f t="shared" si="9"/>
        <v>189627.00732166844</v>
      </c>
      <c r="I32" s="19">
        <f t="shared" si="9"/>
        <v>196779.62294601585</v>
      </c>
      <c r="J32" s="19">
        <f t="shared" si="9"/>
        <v>204085.01425709971</v>
      </c>
      <c r="K32" s="19">
        <f t="shared" si="9"/>
        <v>211546.47814081796</v>
      </c>
      <c r="L32" s="19">
        <f t="shared" si="9"/>
        <v>219167.38315239595</v>
      </c>
      <c r="M32" s="19">
        <f t="shared" si="9"/>
        <v>226951.1710823999</v>
      </c>
      <c r="N32" s="19">
        <f t="shared" si="9"/>
        <v>234901.35855709197</v>
      </c>
      <c r="O32" s="19">
        <f>SUM(C32:N32)</f>
        <v>2329028.9171659402</v>
      </c>
    </row>
    <row r="33" spans="1:15" x14ac:dyDescent="0.3">
      <c r="A33" s="9" t="s">
        <v>80</v>
      </c>
      <c r="C33" s="17">
        <f t="shared" ref="C33:N33" si="10">IFERROR(C32/C22,0)</f>
        <v>0.13766651962946624</v>
      </c>
      <c r="D33" s="17">
        <f t="shared" si="10"/>
        <v>0.14039203170210904</v>
      </c>
      <c r="E33" s="17">
        <f t="shared" si="10"/>
        <v>0.14306219600555869</v>
      </c>
      <c r="F33" s="17">
        <f t="shared" si="10"/>
        <v>0.145678116314054</v>
      </c>
      <c r="G33" s="17">
        <f t="shared" si="10"/>
        <v>0.14824087489711643</v>
      </c>
      <c r="H33" s="17">
        <f t="shared" si="10"/>
        <v>0.15075153292611526</v>
      </c>
      <c r="I33" s="17">
        <f t="shared" si="10"/>
        <v>0.15321113087344018</v>
      </c>
      <c r="J33" s="17">
        <f t="shared" si="10"/>
        <v>0.15562068890440786</v>
      </c>
      <c r="K33" s="17">
        <f t="shared" si="10"/>
        <v>0.15798120726202802</v>
      </c>
      <c r="L33" s="17">
        <f t="shared" si="10"/>
        <v>0.16029366664475556</v>
      </c>
      <c r="M33" s="17">
        <f t="shared" si="10"/>
        <v>0.16255902857734625</v>
      </c>
      <c r="N33" s="17">
        <f t="shared" si="10"/>
        <v>0.16477823577493902</v>
      </c>
      <c r="O33" s="17">
        <f>IFERROR(SUM(C32:N32)/SUM(C22:N22),0)</f>
        <v>0.15229677976351447</v>
      </c>
    </row>
    <row r="34" spans="1:15" x14ac:dyDescent="0.3">
      <c r="A34" s="9" t="s">
        <v>81</v>
      </c>
      <c r="C34" s="18">
        <f>-Assumptions!$C$28</f>
        <v>-5000</v>
      </c>
      <c r="D34" s="18">
        <f>-Assumptions!$C$28</f>
        <v>-5000</v>
      </c>
      <c r="E34" s="18">
        <f>-Assumptions!$C$28</f>
        <v>-5000</v>
      </c>
      <c r="F34" s="18">
        <f>-Assumptions!$C$28</f>
        <v>-5000</v>
      </c>
      <c r="G34" s="18">
        <f>-Assumptions!$C$28</f>
        <v>-5000</v>
      </c>
      <c r="H34" s="18">
        <f>-Assumptions!$C$28</f>
        <v>-5000</v>
      </c>
      <c r="I34" s="18">
        <f>-Assumptions!$C$28</f>
        <v>-5000</v>
      </c>
      <c r="J34" s="18">
        <f>-Assumptions!$C$28</f>
        <v>-5000</v>
      </c>
      <c r="K34" s="18">
        <f>-Assumptions!$C$28</f>
        <v>-5000</v>
      </c>
      <c r="L34" s="18">
        <f>-Assumptions!$C$28</f>
        <v>-5000</v>
      </c>
      <c r="M34" s="18">
        <f>-Assumptions!$C$28</f>
        <v>-5000</v>
      </c>
      <c r="N34" s="18">
        <f>-Assumptions!$C$28</f>
        <v>-5000</v>
      </c>
      <c r="O34" s="18">
        <f>SUM(C34:N34)</f>
        <v>-60000</v>
      </c>
    </row>
    <row r="35" spans="1:15" x14ac:dyDescent="0.3">
      <c r="A35" s="6" t="s">
        <v>82</v>
      </c>
      <c r="C35" s="19">
        <f t="shared" ref="C35:N35" si="11">C32+C34</f>
        <v>151045</v>
      </c>
      <c r="D35" s="19">
        <f t="shared" si="11"/>
        <v>157480.78749999998</v>
      </c>
      <c r="E35" s="19">
        <f t="shared" si="11"/>
        <v>164053.88879875001</v>
      </c>
      <c r="F35" s="19">
        <f t="shared" si="11"/>
        <v>170767.2647746274</v>
      </c>
      <c r="G35" s="19">
        <f t="shared" si="11"/>
        <v>177623.94063507312</v>
      </c>
      <c r="H35" s="19">
        <f t="shared" si="11"/>
        <v>184627.00732166844</v>
      </c>
      <c r="I35" s="19">
        <f t="shared" si="11"/>
        <v>191779.62294601585</v>
      </c>
      <c r="J35" s="19">
        <f t="shared" si="11"/>
        <v>199085.01425709971</v>
      </c>
      <c r="K35" s="19">
        <f t="shared" si="11"/>
        <v>206546.47814081796</v>
      </c>
      <c r="L35" s="19">
        <f t="shared" si="11"/>
        <v>214167.38315239595</v>
      </c>
      <c r="M35" s="19">
        <f t="shared" si="11"/>
        <v>221951.1710823999</v>
      </c>
      <c r="N35" s="19">
        <f t="shared" si="11"/>
        <v>229901.35855709197</v>
      </c>
      <c r="O35" s="19">
        <f>SUM(C35:N35)</f>
        <v>2269028.9171659402</v>
      </c>
    </row>
    <row r="37" spans="1:15" x14ac:dyDescent="0.3">
      <c r="A37" s="4" t="s">
        <v>83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">
      <c r="A38" s="9" t="s">
        <v>84</v>
      </c>
      <c r="C38" s="20">
        <f>Assumptions!$C$32</f>
        <v>60</v>
      </c>
      <c r="D38" s="20">
        <f>Assumptions!$C$32+(Assumptions!$C$33-Assumptions!$C$32)*1/11</f>
        <v>60.909090909090907</v>
      </c>
      <c r="E38" s="20">
        <f>Assumptions!$C$32+(Assumptions!$C$33-Assumptions!$C$32)*2/11</f>
        <v>61.81818181818182</v>
      </c>
      <c r="F38" s="20">
        <f>Assumptions!$C$32+(Assumptions!$C$33-Assumptions!$C$32)*3/11</f>
        <v>62.727272727272727</v>
      </c>
      <c r="G38" s="20">
        <f>Assumptions!$C$32+(Assumptions!$C$33-Assumptions!$C$32)*4/11</f>
        <v>63.636363636363633</v>
      </c>
      <c r="H38" s="20">
        <f>Assumptions!$C$32+(Assumptions!$C$33-Assumptions!$C$32)*5/11</f>
        <v>64.545454545454547</v>
      </c>
      <c r="I38" s="20">
        <f>Assumptions!$C$32+(Assumptions!$C$33-Assumptions!$C$32)*6/11</f>
        <v>65.454545454545453</v>
      </c>
      <c r="J38" s="20">
        <f>Assumptions!$C$32+(Assumptions!$C$33-Assumptions!$C$32)*7/11</f>
        <v>66.36363636363636</v>
      </c>
      <c r="K38" s="20">
        <f>Assumptions!$C$32+(Assumptions!$C$33-Assumptions!$C$32)*8/11</f>
        <v>67.272727272727266</v>
      </c>
      <c r="L38" s="20">
        <f>Assumptions!$C$32+(Assumptions!$C$33-Assumptions!$C$32)*9/11</f>
        <v>68.181818181818187</v>
      </c>
      <c r="M38" s="20">
        <f>Assumptions!$C$32+(Assumptions!$C$33-Assumptions!$C$32)*10/11</f>
        <v>69.090909090909093</v>
      </c>
      <c r="N38" s="20">
        <f>Assumptions!$C$32+(Assumptions!$C$33-Assumptions!$C$32)*11/11</f>
        <v>70</v>
      </c>
    </row>
    <row r="39" spans="1:15" x14ac:dyDescent="0.3">
      <c r="A39" s="9" t="s">
        <v>85</v>
      </c>
      <c r="C39" s="18">
        <f t="shared" ref="C39:N39" si="12">ABS(C23)/30*C38</f>
        <v>1088160</v>
      </c>
      <c r="D39" s="18">
        <f t="shared" si="12"/>
        <v>1127876.7818181817</v>
      </c>
      <c r="E39" s="18">
        <f t="shared" si="12"/>
        <v>1168790.0034109091</v>
      </c>
      <c r="F39" s="18">
        <f t="shared" si="12"/>
        <v>1210932.8630006351</v>
      </c>
      <c r="G39" s="18">
        <f t="shared" si="12"/>
        <v>1254339.4394319251</v>
      </c>
      <c r="H39" s="18">
        <f t="shared" si="12"/>
        <v>1299044.714873452</v>
      </c>
      <c r="I39" s="18">
        <f t="shared" si="12"/>
        <v>1345084.5980936375</v>
      </c>
      <c r="J39" s="18">
        <f t="shared" si="12"/>
        <v>1392495.9483242168</v>
      </c>
      <c r="K39" s="18">
        <f t="shared" si="12"/>
        <v>1441316.5997263584</v>
      </c>
      <c r="L39" s="18">
        <f t="shared" si="12"/>
        <v>1491585.3864743274</v>
      </c>
      <c r="M39" s="18">
        <f t="shared" si="12"/>
        <v>1543342.1684720479</v>
      </c>
      <c r="N39" s="18">
        <f t="shared" si="12"/>
        <v>1596627.8577183071</v>
      </c>
    </row>
    <row r="40" spans="1:15" x14ac:dyDescent="0.3">
      <c r="A40" s="9" t="s">
        <v>86</v>
      </c>
      <c r="C40" s="20">
        <f>Assumptions!$C$36</f>
        <v>5</v>
      </c>
      <c r="D40" s="20">
        <f>Assumptions!$C$36</f>
        <v>5</v>
      </c>
      <c r="E40" s="20">
        <f>Assumptions!$C$36</f>
        <v>5</v>
      </c>
      <c r="F40" s="20">
        <f>Assumptions!$C$36</f>
        <v>5</v>
      </c>
      <c r="G40" s="20">
        <f>Assumptions!$C$36</f>
        <v>5</v>
      </c>
      <c r="H40" s="20">
        <f>Assumptions!$C$36</f>
        <v>5</v>
      </c>
      <c r="I40" s="20">
        <f>Assumptions!$C$36</f>
        <v>5</v>
      </c>
      <c r="J40" s="20">
        <f>Assumptions!$C$36</f>
        <v>5</v>
      </c>
      <c r="K40" s="20">
        <f>Assumptions!$C$36</f>
        <v>5</v>
      </c>
      <c r="L40" s="20">
        <f>Assumptions!$C$36</f>
        <v>5</v>
      </c>
      <c r="M40" s="20">
        <f>Assumptions!$C$36</f>
        <v>5</v>
      </c>
      <c r="N40" s="20">
        <f>Assumptions!$C$36</f>
        <v>5</v>
      </c>
    </row>
    <row r="41" spans="1:15" x14ac:dyDescent="0.3">
      <c r="A41" s="9" t="s">
        <v>87</v>
      </c>
      <c r="C41" s="18">
        <f t="shared" ref="C41:N41" si="13">C22/30*C40</f>
        <v>188916.66666666669</v>
      </c>
      <c r="D41" s="18">
        <f t="shared" si="13"/>
        <v>192889.375</v>
      </c>
      <c r="E41" s="18">
        <f t="shared" si="13"/>
        <v>196946.84493749999</v>
      </c>
      <c r="F41" s="18">
        <f t="shared" si="13"/>
        <v>201090.90418186877</v>
      </c>
      <c r="G41" s="18">
        <f t="shared" si="13"/>
        <v>205323.42014510682</v>
      </c>
      <c r="H41" s="18">
        <f t="shared" si="13"/>
        <v>209646.30081584468</v>
      </c>
      <c r="I41" s="18">
        <f t="shared" si="13"/>
        <v>214061.49564568882</v>
      </c>
      <c r="J41" s="18">
        <f t="shared" si="13"/>
        <v>218570.99645499978</v>
      </c>
      <c r="K41" s="18">
        <f t="shared" si="13"/>
        <v>223176.83835852961</v>
      </c>
      <c r="L41" s="18">
        <f t="shared" si="13"/>
        <v>227881.10071135554</v>
      </c>
      <c r="M41" s="18">
        <f t="shared" si="13"/>
        <v>232685.90807555546</v>
      </c>
      <c r="N41" s="18">
        <f t="shared" si="13"/>
        <v>237593.43120808143</v>
      </c>
    </row>
    <row r="42" spans="1:15" x14ac:dyDescent="0.3">
      <c r="A42" s="9" t="s">
        <v>88</v>
      </c>
      <c r="C42" s="20">
        <f>Assumptions!$C$34</f>
        <v>30</v>
      </c>
      <c r="D42" s="20">
        <f>Assumptions!$C$34+(Assumptions!$C$35-Assumptions!$C$34)*1/11</f>
        <v>31.363636363636363</v>
      </c>
      <c r="E42" s="20">
        <f>Assumptions!$C$34+(Assumptions!$C$35-Assumptions!$C$34)*2/11</f>
        <v>32.727272727272727</v>
      </c>
      <c r="F42" s="20">
        <f>Assumptions!$C$34+(Assumptions!$C$35-Assumptions!$C$34)*3/11</f>
        <v>34.090909090909093</v>
      </c>
      <c r="G42" s="20">
        <f>Assumptions!$C$34+(Assumptions!$C$35-Assumptions!$C$34)*4/11</f>
        <v>35.454545454545453</v>
      </c>
      <c r="H42" s="20">
        <f>Assumptions!$C$34+(Assumptions!$C$35-Assumptions!$C$34)*5/11</f>
        <v>36.81818181818182</v>
      </c>
      <c r="I42" s="20">
        <f>Assumptions!$C$34+(Assumptions!$C$35-Assumptions!$C$34)*6/11</f>
        <v>38.18181818181818</v>
      </c>
      <c r="J42" s="20">
        <f>Assumptions!$C$34+(Assumptions!$C$35-Assumptions!$C$34)*7/11</f>
        <v>39.545454545454547</v>
      </c>
      <c r="K42" s="20">
        <f>Assumptions!$C$34+(Assumptions!$C$35-Assumptions!$C$34)*8/11</f>
        <v>40.909090909090907</v>
      </c>
      <c r="L42" s="20">
        <f>Assumptions!$C$34+(Assumptions!$C$35-Assumptions!$C$34)*9/11</f>
        <v>42.272727272727273</v>
      </c>
      <c r="M42" s="20">
        <f>Assumptions!$C$34+(Assumptions!$C$35-Assumptions!$C$34)*10/11</f>
        <v>43.63636363636364</v>
      </c>
      <c r="N42" s="20">
        <f>Assumptions!$C$34+(Assumptions!$C$35-Assumptions!$C$34)*11/11</f>
        <v>45</v>
      </c>
    </row>
    <row r="43" spans="1:15" x14ac:dyDescent="0.3">
      <c r="A43" s="9" t="s">
        <v>89</v>
      </c>
      <c r="C43" s="18">
        <f t="shared" ref="C43:N43" si="14">ABS(C23)/30*C42</f>
        <v>544080</v>
      </c>
      <c r="D43" s="18">
        <f t="shared" si="14"/>
        <v>580772.3727272728</v>
      </c>
      <c r="E43" s="18">
        <f t="shared" si="14"/>
        <v>618771.17827636364</v>
      </c>
      <c r="F43" s="18">
        <f t="shared" si="14"/>
        <v>658115.6864133887</v>
      </c>
      <c r="G43" s="18">
        <f t="shared" si="14"/>
        <v>698846.25911207253</v>
      </c>
      <c r="H43" s="18">
        <f t="shared" si="14"/>
        <v>741004.37961091276</v>
      </c>
      <c r="I43" s="18">
        <f t="shared" si="14"/>
        <v>784632.68222128844</v>
      </c>
      <c r="J43" s="18">
        <f t="shared" si="14"/>
        <v>829774.98290552641</v>
      </c>
      <c r="K43" s="18">
        <f t="shared" si="14"/>
        <v>876476.31064440717</v>
      </c>
      <c r="L43" s="18">
        <f t="shared" si="14"/>
        <v>924782.93961408292</v>
      </c>
      <c r="M43" s="18">
        <f t="shared" si="14"/>
        <v>974742.42219287239</v>
      </c>
      <c r="N43" s="18">
        <f t="shared" si="14"/>
        <v>1026403.6228189117</v>
      </c>
    </row>
    <row r="49" spans="1:15" ht="19.5" customHeight="1" x14ac:dyDescent="0.3">
      <c r="A49" s="2" t="s">
        <v>90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">
      <c r="A50" s="6" t="s">
        <v>44</v>
      </c>
      <c r="C50" s="15" t="s">
        <v>45</v>
      </c>
      <c r="D50" s="15" t="s">
        <v>46</v>
      </c>
      <c r="E50" s="15" t="s">
        <v>47</v>
      </c>
      <c r="F50" s="15" t="s">
        <v>48</v>
      </c>
      <c r="G50" s="15" t="s">
        <v>49</v>
      </c>
      <c r="H50" s="15" t="s">
        <v>50</v>
      </c>
      <c r="I50" s="15" t="s">
        <v>51</v>
      </c>
      <c r="J50" s="15" t="s">
        <v>52</v>
      </c>
      <c r="K50" s="15" t="s">
        <v>53</v>
      </c>
      <c r="L50" s="15" t="s">
        <v>54</v>
      </c>
      <c r="M50" s="15" t="s">
        <v>55</v>
      </c>
      <c r="N50" s="15" t="s">
        <v>56</v>
      </c>
      <c r="O50" s="15" t="s">
        <v>57</v>
      </c>
    </row>
    <row r="52" spans="1:15" x14ac:dyDescent="0.3">
      <c r="A52" s="4" t="s">
        <v>58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3">
      <c r="A53" s="9" t="s">
        <v>59</v>
      </c>
      <c r="C53" s="16">
        <f>Assumptions!$D$9*(1+Assumptions!$D$10)^0</f>
        <v>40000</v>
      </c>
      <c r="D53" s="16">
        <f>Assumptions!$D$9*(1+Assumptions!$D$10)^1</f>
        <v>40199.999999999993</v>
      </c>
      <c r="E53" s="16">
        <f>Assumptions!$D$9*(1+Assumptions!$D$10)^2</f>
        <v>40400.999999999993</v>
      </c>
      <c r="F53" s="16">
        <f>Assumptions!$D$9*(1+Assumptions!$D$10)^3</f>
        <v>40603.004999999983</v>
      </c>
      <c r="G53" s="16">
        <f>Assumptions!$D$9*(1+Assumptions!$D$10)^4</f>
        <v>40806.020024999976</v>
      </c>
      <c r="H53" s="16">
        <f>Assumptions!$D$9*(1+Assumptions!$D$10)^5</f>
        <v>41010.050125124966</v>
      </c>
      <c r="I53" s="16">
        <f>Assumptions!$D$9*(1+Assumptions!$D$10)^6</f>
        <v>41215.100375750582</v>
      </c>
      <c r="J53" s="16">
        <f>Assumptions!$D$9*(1+Assumptions!$D$10)^7</f>
        <v>41421.175877629335</v>
      </c>
      <c r="K53" s="16">
        <f>Assumptions!$D$9*(1+Assumptions!$D$10)^8</f>
        <v>41628.281757017474</v>
      </c>
      <c r="L53" s="16">
        <f>Assumptions!$D$9*(1+Assumptions!$D$10)^9</f>
        <v>41836.42316580256</v>
      </c>
      <c r="M53" s="16">
        <f>Assumptions!$D$9*(1+Assumptions!$D$10)^10</f>
        <v>42045.605281631564</v>
      </c>
      <c r="N53" s="16">
        <f>Assumptions!$D$9*(1+Assumptions!$D$10)^11</f>
        <v>42255.833308039721</v>
      </c>
    </row>
    <row r="54" spans="1:15" x14ac:dyDescent="0.3">
      <c r="A54" s="9" t="s">
        <v>12</v>
      </c>
      <c r="C54" s="17">
        <f>Assumptions!$D$11</f>
        <v>0.02</v>
      </c>
      <c r="D54" s="17">
        <f>Assumptions!$D$11</f>
        <v>0.02</v>
      </c>
      <c r="E54" s="17">
        <f>Assumptions!$D$11</f>
        <v>0.02</v>
      </c>
      <c r="F54" s="17">
        <f>Assumptions!$D$11</f>
        <v>0.02</v>
      </c>
      <c r="G54" s="17">
        <f>Assumptions!$D$11</f>
        <v>0.02</v>
      </c>
      <c r="H54" s="17">
        <f>Assumptions!$D$11</f>
        <v>0.02</v>
      </c>
      <c r="I54" s="17">
        <f>Assumptions!$D$11</f>
        <v>0.02</v>
      </c>
      <c r="J54" s="17">
        <f>Assumptions!$D$11</f>
        <v>0.02</v>
      </c>
      <c r="K54" s="17">
        <f>Assumptions!$D$11</f>
        <v>0.02</v>
      </c>
      <c r="L54" s="17">
        <f>Assumptions!$D$11</f>
        <v>0.02</v>
      </c>
      <c r="M54" s="17">
        <f>Assumptions!$D$11</f>
        <v>0.02</v>
      </c>
      <c r="N54" s="17">
        <f>Assumptions!$D$11</f>
        <v>0.02</v>
      </c>
    </row>
    <row r="55" spans="1:15" x14ac:dyDescent="0.3">
      <c r="A55" s="9" t="s">
        <v>60</v>
      </c>
      <c r="C55" s="16">
        <f t="shared" ref="C55:N55" si="15">C53*C54</f>
        <v>800</v>
      </c>
      <c r="D55" s="16">
        <f t="shared" si="15"/>
        <v>803.99999999999989</v>
      </c>
      <c r="E55" s="16">
        <f t="shared" si="15"/>
        <v>808.01999999999987</v>
      </c>
      <c r="F55" s="16">
        <f t="shared" si="15"/>
        <v>812.06009999999969</v>
      </c>
      <c r="G55" s="16">
        <f t="shared" si="15"/>
        <v>816.1204004999995</v>
      </c>
      <c r="H55" s="16">
        <f t="shared" si="15"/>
        <v>820.20100250249936</v>
      </c>
      <c r="I55" s="16">
        <f t="shared" si="15"/>
        <v>824.30200751501161</v>
      </c>
      <c r="J55" s="16">
        <f t="shared" si="15"/>
        <v>828.42351755258676</v>
      </c>
      <c r="K55" s="16">
        <f t="shared" si="15"/>
        <v>832.56563514034951</v>
      </c>
      <c r="L55" s="16">
        <f t="shared" si="15"/>
        <v>836.72846331605126</v>
      </c>
      <c r="M55" s="16">
        <f t="shared" si="15"/>
        <v>840.91210563263132</v>
      </c>
      <c r="N55" s="16">
        <f t="shared" si="15"/>
        <v>845.11666616079447</v>
      </c>
    </row>
    <row r="56" spans="1:15" x14ac:dyDescent="0.3">
      <c r="A56" s="9" t="s">
        <v>61</v>
      </c>
      <c r="C56" s="18">
        <f>Assumptions!$D$12</f>
        <v>260</v>
      </c>
      <c r="D56" s="18">
        <f>Assumptions!$D$12</f>
        <v>260</v>
      </c>
      <c r="E56" s="18">
        <f>Assumptions!$D$12</f>
        <v>260</v>
      </c>
      <c r="F56" s="18">
        <f>Assumptions!$D$12</f>
        <v>260</v>
      </c>
      <c r="G56" s="18">
        <f>Assumptions!$D$12</f>
        <v>260</v>
      </c>
      <c r="H56" s="18">
        <f>Assumptions!$D$12</f>
        <v>260</v>
      </c>
      <c r="I56" s="18">
        <f>Assumptions!$D$12</f>
        <v>260</v>
      </c>
      <c r="J56" s="18">
        <f>Assumptions!$D$12</f>
        <v>260</v>
      </c>
      <c r="K56" s="18">
        <f>Assumptions!$D$12</f>
        <v>260</v>
      </c>
      <c r="L56" s="18">
        <f>Assumptions!$D$12</f>
        <v>260</v>
      </c>
      <c r="M56" s="18">
        <f>Assumptions!$D$12</f>
        <v>260</v>
      </c>
      <c r="N56" s="18">
        <f>Assumptions!$D$12</f>
        <v>260</v>
      </c>
    </row>
    <row r="57" spans="1:15" x14ac:dyDescent="0.3">
      <c r="A57" s="6" t="s">
        <v>62</v>
      </c>
      <c r="C57" s="19">
        <f t="shared" ref="C57:N57" si="16">C55*C56</f>
        <v>208000</v>
      </c>
      <c r="D57" s="19">
        <f t="shared" si="16"/>
        <v>209039.99999999997</v>
      </c>
      <c r="E57" s="19">
        <f t="shared" si="16"/>
        <v>210085.19999999995</v>
      </c>
      <c r="F57" s="19">
        <f t="shared" si="16"/>
        <v>211135.62599999993</v>
      </c>
      <c r="G57" s="19">
        <f t="shared" si="16"/>
        <v>212191.30412999986</v>
      </c>
      <c r="H57" s="19">
        <f t="shared" si="16"/>
        <v>213252.26065064984</v>
      </c>
      <c r="I57" s="19">
        <f t="shared" si="16"/>
        <v>214318.52195390302</v>
      </c>
      <c r="J57" s="19">
        <f t="shared" si="16"/>
        <v>215390.11456367257</v>
      </c>
      <c r="K57" s="19">
        <f t="shared" si="16"/>
        <v>216467.06513649088</v>
      </c>
      <c r="L57" s="19">
        <f t="shared" si="16"/>
        <v>217549.40046217333</v>
      </c>
      <c r="M57" s="19">
        <f t="shared" si="16"/>
        <v>218637.14746448415</v>
      </c>
      <c r="N57" s="19">
        <f t="shared" si="16"/>
        <v>219730.33320180656</v>
      </c>
      <c r="O57" s="19">
        <f>SUM(C57:N57)</f>
        <v>2565796.9735631798</v>
      </c>
    </row>
    <row r="59" spans="1:15" x14ac:dyDescent="0.3">
      <c r="A59" s="4" t="s">
        <v>63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">
      <c r="A60" s="9" t="s">
        <v>64</v>
      </c>
      <c r="C60" s="16">
        <f>Assumptions!$D$15*(1+Assumptions!$D$16)^0</f>
        <v>120</v>
      </c>
      <c r="D60" s="16">
        <f>Assumptions!$D$15*(1+Assumptions!$D$16)^1</f>
        <v>120.6</v>
      </c>
      <c r="E60" s="16">
        <f>Assumptions!$D$15*(1+Assumptions!$D$16)^2</f>
        <v>121.20299999999997</v>
      </c>
      <c r="F60" s="16">
        <f>Assumptions!$D$15*(1+Assumptions!$D$16)^3</f>
        <v>121.80901499999996</v>
      </c>
      <c r="G60" s="16">
        <f>Assumptions!$D$15*(1+Assumptions!$D$16)^4</f>
        <v>122.41806007499991</v>
      </c>
      <c r="H60" s="16">
        <f>Assumptions!$D$15*(1+Assumptions!$D$16)^5</f>
        <v>123.0301503753749</v>
      </c>
      <c r="I60" s="16">
        <f>Assumptions!$D$15*(1+Assumptions!$D$16)^6</f>
        <v>123.64530112725176</v>
      </c>
      <c r="J60" s="16">
        <f>Assumptions!$D$15*(1+Assumptions!$D$16)^7</f>
        <v>124.263527632888</v>
      </c>
      <c r="K60" s="16">
        <f>Assumptions!$D$15*(1+Assumptions!$D$16)^8</f>
        <v>124.88484527105243</v>
      </c>
      <c r="L60" s="16">
        <f>Assumptions!$D$15*(1+Assumptions!$D$16)^9</f>
        <v>125.50926949740769</v>
      </c>
      <c r="M60" s="16">
        <f>Assumptions!$D$15*(1+Assumptions!$D$16)^10</f>
        <v>126.1368158448947</v>
      </c>
      <c r="N60" s="16">
        <f>Assumptions!$D$15*(1+Assumptions!$D$16)^11</f>
        <v>126.76749992411916</v>
      </c>
    </row>
    <row r="61" spans="1:15" x14ac:dyDescent="0.3">
      <c r="A61" s="9" t="s">
        <v>65</v>
      </c>
      <c r="C61" s="20">
        <f>Assumptions!$D$17</f>
        <v>1</v>
      </c>
      <c r="D61" s="20">
        <f>Assumptions!$D$17</f>
        <v>1</v>
      </c>
      <c r="E61" s="20">
        <f>Assumptions!$D$17</f>
        <v>1</v>
      </c>
      <c r="F61" s="20">
        <f>Assumptions!$D$17</f>
        <v>1</v>
      </c>
      <c r="G61" s="20">
        <f>Assumptions!$D$17</f>
        <v>1</v>
      </c>
      <c r="H61" s="20">
        <f>Assumptions!$D$17</f>
        <v>1</v>
      </c>
      <c r="I61" s="20">
        <f>Assumptions!$D$17</f>
        <v>1</v>
      </c>
      <c r="J61" s="20">
        <f>Assumptions!$D$17</f>
        <v>1</v>
      </c>
      <c r="K61" s="20">
        <f>Assumptions!$D$17</f>
        <v>1</v>
      </c>
      <c r="L61" s="20">
        <f>Assumptions!$D$17</f>
        <v>1</v>
      </c>
      <c r="M61" s="20">
        <f>Assumptions!$D$17</f>
        <v>1</v>
      </c>
      <c r="N61" s="20">
        <f>Assumptions!$D$17</f>
        <v>1</v>
      </c>
    </row>
    <row r="62" spans="1:15" x14ac:dyDescent="0.3">
      <c r="A62" s="9" t="s">
        <v>66</v>
      </c>
      <c r="C62" s="16">
        <f t="shared" ref="C62:N62" si="17">C60*C61</f>
        <v>120</v>
      </c>
      <c r="D62" s="16">
        <f t="shared" si="17"/>
        <v>120.6</v>
      </c>
      <c r="E62" s="16">
        <f t="shared" si="17"/>
        <v>121.20299999999997</v>
      </c>
      <c r="F62" s="16">
        <f t="shared" si="17"/>
        <v>121.80901499999996</v>
      </c>
      <c r="G62" s="16">
        <f t="shared" si="17"/>
        <v>122.41806007499991</v>
      </c>
      <c r="H62" s="16">
        <f t="shared" si="17"/>
        <v>123.0301503753749</v>
      </c>
      <c r="I62" s="16">
        <f t="shared" si="17"/>
        <v>123.64530112725176</v>
      </c>
      <c r="J62" s="16">
        <f t="shared" si="17"/>
        <v>124.263527632888</v>
      </c>
      <c r="K62" s="16">
        <f t="shared" si="17"/>
        <v>124.88484527105243</v>
      </c>
      <c r="L62" s="16">
        <f t="shared" si="17"/>
        <v>125.50926949740769</v>
      </c>
      <c r="M62" s="16">
        <f t="shared" si="17"/>
        <v>126.1368158448947</v>
      </c>
      <c r="N62" s="16">
        <f t="shared" si="17"/>
        <v>126.76749992411916</v>
      </c>
    </row>
    <row r="63" spans="1:15" x14ac:dyDescent="0.3">
      <c r="A63" s="9" t="s">
        <v>61</v>
      </c>
      <c r="C63" s="18">
        <f>Assumptions!$D$18</f>
        <v>700</v>
      </c>
      <c r="D63" s="18">
        <f>Assumptions!$D$18</f>
        <v>700</v>
      </c>
      <c r="E63" s="18">
        <f>Assumptions!$D$18</f>
        <v>700</v>
      </c>
      <c r="F63" s="18">
        <f>Assumptions!$D$18</f>
        <v>700</v>
      </c>
      <c r="G63" s="18">
        <f>Assumptions!$D$18</f>
        <v>700</v>
      </c>
      <c r="H63" s="18">
        <f>Assumptions!$D$18</f>
        <v>700</v>
      </c>
      <c r="I63" s="18">
        <f>Assumptions!$D$18</f>
        <v>700</v>
      </c>
      <c r="J63" s="18">
        <f>Assumptions!$D$18</f>
        <v>700</v>
      </c>
      <c r="K63" s="18">
        <f>Assumptions!$D$18</f>
        <v>700</v>
      </c>
      <c r="L63" s="18">
        <f>Assumptions!$D$18</f>
        <v>700</v>
      </c>
      <c r="M63" s="18">
        <f>Assumptions!$D$18</f>
        <v>700</v>
      </c>
      <c r="N63" s="18">
        <f>Assumptions!$D$18</f>
        <v>700</v>
      </c>
    </row>
    <row r="64" spans="1:15" x14ac:dyDescent="0.3">
      <c r="A64" s="6" t="s">
        <v>67</v>
      </c>
      <c r="C64" s="19">
        <f t="shared" ref="C64:N64" si="18">C62*C63</f>
        <v>84000</v>
      </c>
      <c r="D64" s="19">
        <f t="shared" si="18"/>
        <v>84420</v>
      </c>
      <c r="E64" s="19">
        <f t="shared" si="18"/>
        <v>84842.099999999977</v>
      </c>
      <c r="F64" s="19">
        <f t="shared" si="18"/>
        <v>85266.310499999978</v>
      </c>
      <c r="G64" s="19">
        <f t="shared" si="18"/>
        <v>85692.642052499941</v>
      </c>
      <c r="H64" s="19">
        <f t="shared" si="18"/>
        <v>86121.10526276243</v>
      </c>
      <c r="I64" s="19">
        <f t="shared" si="18"/>
        <v>86551.710789076227</v>
      </c>
      <c r="J64" s="19">
        <f t="shared" si="18"/>
        <v>86984.469343021599</v>
      </c>
      <c r="K64" s="19">
        <f t="shared" si="18"/>
        <v>87419.391689736702</v>
      </c>
      <c r="L64" s="19">
        <f t="shared" si="18"/>
        <v>87856.488648185375</v>
      </c>
      <c r="M64" s="19">
        <f t="shared" si="18"/>
        <v>88295.771091426286</v>
      </c>
      <c r="N64" s="19">
        <f t="shared" si="18"/>
        <v>88737.249946883414</v>
      </c>
      <c r="O64" s="19">
        <f>SUM(C64:N64)</f>
        <v>1036187.2393235919</v>
      </c>
    </row>
    <row r="66" spans="1:15" x14ac:dyDescent="0.3">
      <c r="A66" s="9" t="s">
        <v>68</v>
      </c>
      <c r="C66" s="18">
        <f>Assumptions!$D$21*(1+Assumptions!$D$6)^0</f>
        <v>500000</v>
      </c>
      <c r="D66" s="18">
        <f>Assumptions!$D$21*(1+Assumptions!$D$6)^1</f>
        <v>502499.99999999994</v>
      </c>
      <c r="E66" s="18">
        <f>Assumptions!$D$21*(1+Assumptions!$D$6)^2</f>
        <v>505012.49999999988</v>
      </c>
      <c r="F66" s="18">
        <f>Assumptions!$D$21*(1+Assumptions!$D$6)^3</f>
        <v>507537.56249999983</v>
      </c>
      <c r="G66" s="18">
        <f>Assumptions!$D$21*(1+Assumptions!$D$6)^4</f>
        <v>510075.25031249964</v>
      </c>
      <c r="H66" s="18">
        <f>Assumptions!$D$21*(1+Assumptions!$D$6)^5</f>
        <v>512625.62656406208</v>
      </c>
      <c r="I66" s="18">
        <f>Assumptions!$D$21*(1+Assumptions!$D$6)^6</f>
        <v>515188.75469688227</v>
      </c>
      <c r="J66" s="18">
        <f>Assumptions!$D$21*(1+Assumptions!$D$6)^7</f>
        <v>517764.69847036665</v>
      </c>
      <c r="K66" s="18">
        <f>Assumptions!$D$21*(1+Assumptions!$D$6)^8</f>
        <v>520353.52196271846</v>
      </c>
      <c r="L66" s="18">
        <f>Assumptions!$D$21*(1+Assumptions!$D$6)^9</f>
        <v>522955.289572532</v>
      </c>
      <c r="M66" s="18">
        <f>Assumptions!$D$21*(1+Assumptions!$D$6)^10</f>
        <v>525570.06602039456</v>
      </c>
      <c r="N66" s="18">
        <f>Assumptions!$D$21*(1+Assumptions!$D$6)^11</f>
        <v>528197.91635049647</v>
      </c>
      <c r="O66" s="18">
        <f>SUM(C66:N66)</f>
        <v>6167781.1864499524</v>
      </c>
    </row>
    <row r="67" spans="1:15" x14ac:dyDescent="0.3">
      <c r="A67" s="6" t="s">
        <v>69</v>
      </c>
      <c r="C67" s="19">
        <f t="shared" ref="C67:N67" si="19">C57+C64+C66</f>
        <v>792000</v>
      </c>
      <c r="D67" s="19">
        <f t="shared" si="19"/>
        <v>795960</v>
      </c>
      <c r="E67" s="19">
        <f t="shared" si="19"/>
        <v>799939.79999999981</v>
      </c>
      <c r="F67" s="19">
        <f t="shared" si="19"/>
        <v>803939.49899999972</v>
      </c>
      <c r="G67" s="19">
        <f t="shared" si="19"/>
        <v>807959.19649499946</v>
      </c>
      <c r="H67" s="19">
        <f t="shared" si="19"/>
        <v>811998.99247747438</v>
      </c>
      <c r="I67" s="19">
        <f t="shared" si="19"/>
        <v>816058.98743986152</v>
      </c>
      <c r="J67" s="19">
        <f t="shared" si="19"/>
        <v>820139.28237706085</v>
      </c>
      <c r="K67" s="19">
        <f t="shared" si="19"/>
        <v>824239.97878894606</v>
      </c>
      <c r="L67" s="19">
        <f t="shared" si="19"/>
        <v>828361.17868289072</v>
      </c>
      <c r="M67" s="19">
        <f t="shared" si="19"/>
        <v>832502.98457630503</v>
      </c>
      <c r="N67" s="19">
        <f t="shared" si="19"/>
        <v>836665.49949918641</v>
      </c>
      <c r="O67" s="19">
        <f>SUM(C67:N67)</f>
        <v>9769765.3993367236</v>
      </c>
    </row>
    <row r="69" spans="1:15" x14ac:dyDescent="0.3">
      <c r="A69" s="4" t="s">
        <v>70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3">
      <c r="A70" s="9" t="s">
        <v>71</v>
      </c>
      <c r="C70" s="18">
        <f t="shared" ref="C70:N70" si="20">C67</f>
        <v>792000</v>
      </c>
      <c r="D70" s="18">
        <f t="shared" si="20"/>
        <v>795960</v>
      </c>
      <c r="E70" s="18">
        <f t="shared" si="20"/>
        <v>799939.79999999981</v>
      </c>
      <c r="F70" s="18">
        <f t="shared" si="20"/>
        <v>803939.49899999972</v>
      </c>
      <c r="G70" s="18">
        <f t="shared" si="20"/>
        <v>807959.19649499946</v>
      </c>
      <c r="H70" s="18">
        <f t="shared" si="20"/>
        <v>811998.99247747438</v>
      </c>
      <c r="I70" s="18">
        <f t="shared" si="20"/>
        <v>816058.98743986152</v>
      </c>
      <c r="J70" s="18">
        <f t="shared" si="20"/>
        <v>820139.28237706085</v>
      </c>
      <c r="K70" s="18">
        <f t="shared" si="20"/>
        <v>824239.97878894606</v>
      </c>
      <c r="L70" s="18">
        <f t="shared" si="20"/>
        <v>828361.17868289072</v>
      </c>
      <c r="M70" s="18">
        <f t="shared" si="20"/>
        <v>832502.98457630503</v>
      </c>
      <c r="N70" s="18">
        <f t="shared" si="20"/>
        <v>836665.49949918641</v>
      </c>
      <c r="O70" s="18">
        <f>SUM(C70:N70)</f>
        <v>9769765.3993367236</v>
      </c>
    </row>
    <row r="71" spans="1:15" x14ac:dyDescent="0.3">
      <c r="A71" s="9" t="s">
        <v>72</v>
      </c>
      <c r="C71" s="18">
        <f>-C70*(1-Assumptions!$D$24)</f>
        <v>-411840</v>
      </c>
      <c r="D71" s="18">
        <f>-D70*(1-Assumptions!$D$24)</f>
        <v>-413899.2</v>
      </c>
      <c r="E71" s="18">
        <f>-E70*(1-Assumptions!$D$24)</f>
        <v>-415968.69599999994</v>
      </c>
      <c r="F71" s="18">
        <f>-F70*(1-Assumptions!$D$24)</f>
        <v>-418048.53947999986</v>
      </c>
      <c r="G71" s="18">
        <f>-G70*(1-Assumptions!$D$24)</f>
        <v>-420138.78217739973</v>
      </c>
      <c r="H71" s="18">
        <f>-H70*(1-Assumptions!$D$24)</f>
        <v>-422239.47608828667</v>
      </c>
      <c r="I71" s="18">
        <f>-I70*(1-Assumptions!$D$24)</f>
        <v>-424350.67346872803</v>
      </c>
      <c r="J71" s="18">
        <f>-J70*(1-Assumptions!$D$24)</f>
        <v>-426472.42683607165</v>
      </c>
      <c r="K71" s="18">
        <f>-K70*(1-Assumptions!$D$24)</f>
        <v>-428604.78897025198</v>
      </c>
      <c r="L71" s="18">
        <f>-L70*(1-Assumptions!$D$24)</f>
        <v>-430747.81291510316</v>
      </c>
      <c r="M71" s="18">
        <f>-M70*(1-Assumptions!$D$24)</f>
        <v>-432901.55197967862</v>
      </c>
      <c r="N71" s="18">
        <f>-N70*(1-Assumptions!$D$24)</f>
        <v>-435066.05973957694</v>
      </c>
      <c r="O71" s="18">
        <f>SUM(C71:N71)</f>
        <v>-5080278.0076550962</v>
      </c>
    </row>
    <row r="72" spans="1:15" x14ac:dyDescent="0.3">
      <c r="A72" s="6" t="s">
        <v>73</v>
      </c>
      <c r="C72" s="19">
        <f t="shared" ref="C72:N72" si="21">C70+C71</f>
        <v>380160</v>
      </c>
      <c r="D72" s="19">
        <f t="shared" si="21"/>
        <v>382060.79999999999</v>
      </c>
      <c r="E72" s="19">
        <f t="shared" si="21"/>
        <v>383971.10399999988</v>
      </c>
      <c r="F72" s="19">
        <f t="shared" si="21"/>
        <v>385890.95951999986</v>
      </c>
      <c r="G72" s="19">
        <f t="shared" si="21"/>
        <v>387820.41431759973</v>
      </c>
      <c r="H72" s="19">
        <f t="shared" si="21"/>
        <v>389759.51638918772</v>
      </c>
      <c r="I72" s="19">
        <f t="shared" si="21"/>
        <v>391708.3139711335</v>
      </c>
      <c r="J72" s="19">
        <f t="shared" si="21"/>
        <v>393666.8555409892</v>
      </c>
      <c r="K72" s="19">
        <f t="shared" si="21"/>
        <v>395635.18981869408</v>
      </c>
      <c r="L72" s="19">
        <f t="shared" si="21"/>
        <v>397613.36576778756</v>
      </c>
      <c r="M72" s="19">
        <f t="shared" si="21"/>
        <v>399601.4325966264</v>
      </c>
      <c r="N72" s="19">
        <f t="shared" si="21"/>
        <v>401599.43975960946</v>
      </c>
      <c r="O72" s="19">
        <f>SUM(C72:N72)</f>
        <v>4689487.3916816274</v>
      </c>
    </row>
    <row r="73" spans="1:15" x14ac:dyDescent="0.3">
      <c r="A73" s="9" t="s">
        <v>74</v>
      </c>
      <c r="C73" s="17">
        <f t="shared" ref="C73:N73" si="22">IFERROR(C72/C70,0)</f>
        <v>0.48</v>
      </c>
      <c r="D73" s="17">
        <f t="shared" si="22"/>
        <v>0.48</v>
      </c>
      <c r="E73" s="17">
        <f t="shared" si="22"/>
        <v>0.48</v>
      </c>
      <c r="F73" s="17">
        <f t="shared" si="22"/>
        <v>0.48</v>
      </c>
      <c r="G73" s="17">
        <f t="shared" si="22"/>
        <v>0.48</v>
      </c>
      <c r="H73" s="17">
        <f t="shared" si="22"/>
        <v>0.48000000000000004</v>
      </c>
      <c r="I73" s="17">
        <f t="shared" si="22"/>
        <v>0.48</v>
      </c>
      <c r="J73" s="17">
        <f t="shared" si="22"/>
        <v>0.48</v>
      </c>
      <c r="K73" s="17">
        <f t="shared" si="22"/>
        <v>0.48</v>
      </c>
      <c r="L73" s="17">
        <f t="shared" si="22"/>
        <v>0.48000000000000004</v>
      </c>
      <c r="M73" s="17">
        <f t="shared" si="22"/>
        <v>0.48</v>
      </c>
      <c r="N73" s="17">
        <f t="shared" si="22"/>
        <v>0.48</v>
      </c>
      <c r="O73" s="17">
        <f>IFERROR(SUM(C72:N72)/SUM(C70:N70),0)</f>
        <v>0.48</v>
      </c>
    </row>
    <row r="75" spans="1:15" x14ac:dyDescent="0.3">
      <c r="A75" s="9" t="s">
        <v>75</v>
      </c>
      <c r="C75" s="18">
        <f>-C70*Assumptions!$D$25</f>
        <v>-118800</v>
      </c>
      <c r="D75" s="18">
        <f>-D70*Assumptions!$D$25</f>
        <v>-119394</v>
      </c>
      <c r="E75" s="18">
        <f>-E70*Assumptions!$D$25</f>
        <v>-119990.96999999997</v>
      </c>
      <c r="F75" s="18">
        <f>-F70*Assumptions!$D$25</f>
        <v>-120590.92484999995</v>
      </c>
      <c r="G75" s="18">
        <f>-G70*Assumptions!$D$25</f>
        <v>-121193.87947424992</v>
      </c>
      <c r="H75" s="18">
        <f>-H70*Assumptions!$D$25</f>
        <v>-121799.84887162116</v>
      </c>
      <c r="I75" s="18">
        <f>-I70*Assumptions!$D$25</f>
        <v>-122408.84811597923</v>
      </c>
      <c r="J75" s="18">
        <f>-J70*Assumptions!$D$25</f>
        <v>-123020.89235655912</v>
      </c>
      <c r="K75" s="18">
        <f>-K70*Assumptions!$D$25</f>
        <v>-123635.9968183419</v>
      </c>
      <c r="L75" s="18">
        <f>-L70*Assumptions!$D$25</f>
        <v>-124254.17680243361</v>
      </c>
      <c r="M75" s="18">
        <f>-M70*Assumptions!$D$25</f>
        <v>-124875.44768644575</v>
      </c>
      <c r="N75" s="18">
        <f>-N70*Assumptions!$D$25</f>
        <v>-125499.82492487796</v>
      </c>
      <c r="O75" s="18">
        <f>SUM(C75:N75)</f>
        <v>-1465464.8099005087</v>
      </c>
    </row>
    <row r="76" spans="1:15" x14ac:dyDescent="0.3">
      <c r="A76" s="9" t="s">
        <v>76</v>
      </c>
      <c r="C76" s="18">
        <f>-C70*Assumptions!$D$26</f>
        <v>-95040</v>
      </c>
      <c r="D76" s="18">
        <f>-D70*Assumptions!$D$26</f>
        <v>-95515.199999999997</v>
      </c>
      <c r="E76" s="18">
        <f>-E70*Assumptions!$D$26</f>
        <v>-95992.775999999969</v>
      </c>
      <c r="F76" s="18">
        <f>-F70*Assumptions!$D$26</f>
        <v>-96472.739879999965</v>
      </c>
      <c r="G76" s="18">
        <f>-G70*Assumptions!$D$26</f>
        <v>-96955.103579399933</v>
      </c>
      <c r="H76" s="18">
        <f>-H70*Assumptions!$D$26</f>
        <v>-97439.879097296929</v>
      </c>
      <c r="I76" s="18">
        <f>-I70*Assumptions!$D$26</f>
        <v>-97927.078492783374</v>
      </c>
      <c r="J76" s="18">
        <f>-J70*Assumptions!$D$26</f>
        <v>-98416.7138852473</v>
      </c>
      <c r="K76" s="18">
        <f>-K70*Assumptions!$D$26</f>
        <v>-98908.79745467352</v>
      </c>
      <c r="L76" s="18">
        <f>-L70*Assumptions!$D$26</f>
        <v>-99403.34144194689</v>
      </c>
      <c r="M76" s="18">
        <f>-M70*Assumptions!$D$26</f>
        <v>-99900.3581491566</v>
      </c>
      <c r="N76" s="18">
        <f>-N70*Assumptions!$D$26</f>
        <v>-100399.85993990237</v>
      </c>
      <c r="O76" s="18">
        <f>SUM(C76:N76)</f>
        <v>-1172371.8479204068</v>
      </c>
    </row>
    <row r="77" spans="1:15" x14ac:dyDescent="0.3">
      <c r="A77" s="9" t="s">
        <v>77</v>
      </c>
      <c r="C77" s="18">
        <f>-Assumptions!$D$27</f>
        <v>-150000</v>
      </c>
      <c r="D77" s="18">
        <f>-Assumptions!$D$27</f>
        <v>-150000</v>
      </c>
      <c r="E77" s="18">
        <f>-Assumptions!$D$27</f>
        <v>-150000</v>
      </c>
      <c r="F77" s="18">
        <f>-Assumptions!$D$27</f>
        <v>-150000</v>
      </c>
      <c r="G77" s="18">
        <f>-Assumptions!$D$27</f>
        <v>-150000</v>
      </c>
      <c r="H77" s="18">
        <f>-Assumptions!$D$27</f>
        <v>-150000</v>
      </c>
      <c r="I77" s="18">
        <f>-Assumptions!$D$27</f>
        <v>-150000</v>
      </c>
      <c r="J77" s="18">
        <f>-Assumptions!$D$27</f>
        <v>-150000</v>
      </c>
      <c r="K77" s="18">
        <f>-Assumptions!$D$27</f>
        <v>-150000</v>
      </c>
      <c r="L77" s="18">
        <f>-Assumptions!$D$27</f>
        <v>-150000</v>
      </c>
      <c r="M77" s="18">
        <f>-Assumptions!$D$27</f>
        <v>-150000</v>
      </c>
      <c r="N77" s="18">
        <f>-Assumptions!$D$27</f>
        <v>-150000</v>
      </c>
      <c r="O77" s="18">
        <f>SUM(C77:N77)</f>
        <v>-1800000</v>
      </c>
    </row>
    <row r="78" spans="1:15" x14ac:dyDescent="0.3">
      <c r="A78" s="6" t="s">
        <v>78</v>
      </c>
      <c r="C78" s="19">
        <f t="shared" ref="C78:N78" si="23">C75+C76+C77</f>
        <v>-363840</v>
      </c>
      <c r="D78" s="19">
        <f t="shared" si="23"/>
        <v>-364909.2</v>
      </c>
      <c r="E78" s="19">
        <f t="shared" si="23"/>
        <v>-365983.74599999993</v>
      </c>
      <c r="F78" s="19">
        <f t="shared" si="23"/>
        <v>-367063.6647299999</v>
      </c>
      <c r="G78" s="19">
        <f t="shared" si="23"/>
        <v>-368148.98305364983</v>
      </c>
      <c r="H78" s="19">
        <f t="shared" si="23"/>
        <v>-369239.7279689181</v>
      </c>
      <c r="I78" s="19">
        <f t="shared" si="23"/>
        <v>-370335.92660876259</v>
      </c>
      <c r="J78" s="19">
        <f t="shared" si="23"/>
        <v>-371437.60624180641</v>
      </c>
      <c r="K78" s="19">
        <f t="shared" si="23"/>
        <v>-372544.7942730154</v>
      </c>
      <c r="L78" s="19">
        <f t="shared" si="23"/>
        <v>-373657.51824438048</v>
      </c>
      <c r="M78" s="19">
        <f t="shared" si="23"/>
        <v>-374775.80583560234</v>
      </c>
      <c r="N78" s="19">
        <f t="shared" si="23"/>
        <v>-375899.68486478034</v>
      </c>
      <c r="O78" s="19">
        <f>SUM(C78:N78)</f>
        <v>-4437836.6578209158</v>
      </c>
    </row>
    <row r="80" spans="1:15" x14ac:dyDescent="0.3">
      <c r="A80" s="6" t="s">
        <v>79</v>
      </c>
      <c r="C80" s="19">
        <f t="shared" ref="C80:N80" si="24">C72+C78</f>
        <v>16320</v>
      </c>
      <c r="D80" s="19">
        <f t="shared" si="24"/>
        <v>17151.599999999977</v>
      </c>
      <c r="E80" s="19">
        <f t="shared" si="24"/>
        <v>17987.357999999949</v>
      </c>
      <c r="F80" s="19">
        <f t="shared" si="24"/>
        <v>18827.294789999956</v>
      </c>
      <c r="G80" s="19">
        <f t="shared" si="24"/>
        <v>19671.431263949897</v>
      </c>
      <c r="H80" s="19">
        <f t="shared" si="24"/>
        <v>20519.788420269615</v>
      </c>
      <c r="I80" s="19">
        <f t="shared" si="24"/>
        <v>21372.387362370908</v>
      </c>
      <c r="J80" s="19">
        <f t="shared" si="24"/>
        <v>22229.249299182789</v>
      </c>
      <c r="K80" s="19">
        <f t="shared" si="24"/>
        <v>23090.395545678679</v>
      </c>
      <c r="L80" s="19">
        <f t="shared" si="24"/>
        <v>23955.847523407079</v>
      </c>
      <c r="M80" s="19">
        <f t="shared" si="24"/>
        <v>24825.626761024061</v>
      </c>
      <c r="N80" s="19">
        <f t="shared" si="24"/>
        <v>25699.754894829122</v>
      </c>
      <c r="O80" s="19">
        <f>SUM(C80:N80)</f>
        <v>251650.73386071203</v>
      </c>
    </row>
    <row r="81" spans="1:15" x14ac:dyDescent="0.3">
      <c r="A81" s="9" t="s">
        <v>80</v>
      </c>
      <c r="C81" s="17">
        <f t="shared" ref="C81:N81" si="25">IFERROR(C80/C70,0)</f>
        <v>2.0606060606060607E-2</v>
      </c>
      <c r="D81" s="17">
        <f t="shared" si="25"/>
        <v>2.154831901100555E-2</v>
      </c>
      <c r="E81" s="17">
        <f t="shared" si="25"/>
        <v>2.2485889563189573E-2</v>
      </c>
      <c r="F81" s="17">
        <f t="shared" si="25"/>
        <v>2.3418795585263268E-2</v>
      </c>
      <c r="G81" s="17">
        <f t="shared" si="25"/>
        <v>2.434706028384398E-2</v>
      </c>
      <c r="H81" s="17">
        <f t="shared" si="25"/>
        <v>2.5270706750093477E-2</v>
      </c>
      <c r="I81" s="17">
        <f t="shared" si="25"/>
        <v>2.6189757960291958E-2</v>
      </c>
      <c r="J81" s="17">
        <f t="shared" si="25"/>
        <v>2.710423677640994E-2</v>
      </c>
      <c r="K81" s="17">
        <f t="shared" si="25"/>
        <v>2.8014165946676529E-2</v>
      </c>
      <c r="L81" s="17">
        <f t="shared" si="25"/>
        <v>2.8919568106145814E-2</v>
      </c>
      <c r="M81" s="17">
        <f t="shared" si="25"/>
        <v>2.9820465777259456E-2</v>
      </c>
      <c r="N81" s="17">
        <f t="shared" si="25"/>
        <v>3.0716881370407356E-2</v>
      </c>
      <c r="O81" s="17">
        <f>IFERROR(SUM(C80:N80)/SUM(C70:N70),0)</f>
        <v>2.5758114302089258E-2</v>
      </c>
    </row>
    <row r="82" spans="1:15" x14ac:dyDescent="0.3">
      <c r="A82" s="9" t="s">
        <v>81</v>
      </c>
      <c r="C82" s="18">
        <f>-Assumptions!$D$28</f>
        <v>-5000</v>
      </c>
      <c r="D82" s="18">
        <f>-Assumptions!$D$28</f>
        <v>-5000</v>
      </c>
      <c r="E82" s="18">
        <f>-Assumptions!$D$28</f>
        <v>-5000</v>
      </c>
      <c r="F82" s="18">
        <f>-Assumptions!$D$28</f>
        <v>-5000</v>
      </c>
      <c r="G82" s="18">
        <f>-Assumptions!$D$28</f>
        <v>-5000</v>
      </c>
      <c r="H82" s="18">
        <f>-Assumptions!$D$28</f>
        <v>-5000</v>
      </c>
      <c r="I82" s="18">
        <f>-Assumptions!$D$28</f>
        <v>-5000</v>
      </c>
      <c r="J82" s="18">
        <f>-Assumptions!$D$28</f>
        <v>-5000</v>
      </c>
      <c r="K82" s="18">
        <f>-Assumptions!$D$28</f>
        <v>-5000</v>
      </c>
      <c r="L82" s="18">
        <f>-Assumptions!$D$28</f>
        <v>-5000</v>
      </c>
      <c r="M82" s="18">
        <f>-Assumptions!$D$28</f>
        <v>-5000</v>
      </c>
      <c r="N82" s="18">
        <f>-Assumptions!$D$28</f>
        <v>-5000</v>
      </c>
      <c r="O82" s="18">
        <f>SUM(C82:N82)</f>
        <v>-60000</v>
      </c>
    </row>
    <row r="83" spans="1:15" x14ac:dyDescent="0.3">
      <c r="A83" s="6" t="s">
        <v>82</v>
      </c>
      <c r="C83" s="19">
        <f t="shared" ref="C83:N83" si="26">C80+C82</f>
        <v>11320</v>
      </c>
      <c r="D83" s="19">
        <f t="shared" si="26"/>
        <v>12151.599999999977</v>
      </c>
      <c r="E83" s="19">
        <f t="shared" si="26"/>
        <v>12987.357999999949</v>
      </c>
      <c r="F83" s="19">
        <f t="shared" si="26"/>
        <v>13827.294789999956</v>
      </c>
      <c r="G83" s="19">
        <f t="shared" si="26"/>
        <v>14671.431263949897</v>
      </c>
      <c r="H83" s="19">
        <f t="shared" si="26"/>
        <v>15519.788420269615</v>
      </c>
      <c r="I83" s="19">
        <f t="shared" si="26"/>
        <v>16372.387362370908</v>
      </c>
      <c r="J83" s="19">
        <f t="shared" si="26"/>
        <v>17229.249299182789</v>
      </c>
      <c r="K83" s="19">
        <f t="shared" si="26"/>
        <v>18090.395545678679</v>
      </c>
      <c r="L83" s="19">
        <f t="shared" si="26"/>
        <v>18955.847523407079</v>
      </c>
      <c r="M83" s="19">
        <f t="shared" si="26"/>
        <v>19825.626761024061</v>
      </c>
      <c r="N83" s="19">
        <f t="shared" si="26"/>
        <v>20699.754894829122</v>
      </c>
      <c r="O83" s="19">
        <f>SUM(C83:N83)</f>
        <v>191650.73386071203</v>
      </c>
    </row>
    <row r="85" spans="1:15" x14ac:dyDescent="0.3">
      <c r="A85" s="4" t="s">
        <v>83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3">
      <c r="A86" s="9" t="s">
        <v>84</v>
      </c>
      <c r="C86" s="20">
        <f>Assumptions!$D$32</f>
        <v>75</v>
      </c>
      <c r="D86" s="20">
        <f>Assumptions!$D$32+(Assumptions!$D$33-Assumptions!$D$32)*1/11</f>
        <v>76.36363636363636</v>
      </c>
      <c r="E86" s="20">
        <f>Assumptions!$D$32+(Assumptions!$D$33-Assumptions!$D$32)*2/11</f>
        <v>77.727272727272734</v>
      </c>
      <c r="F86" s="20">
        <f>Assumptions!$D$32+(Assumptions!$D$33-Assumptions!$D$32)*3/11</f>
        <v>79.090909090909093</v>
      </c>
      <c r="G86" s="20">
        <f>Assumptions!$D$32+(Assumptions!$D$33-Assumptions!$D$32)*4/11</f>
        <v>80.454545454545453</v>
      </c>
      <c r="H86" s="20">
        <f>Assumptions!$D$32+(Assumptions!$D$33-Assumptions!$D$32)*5/11</f>
        <v>81.818181818181813</v>
      </c>
      <c r="I86" s="20">
        <f>Assumptions!$D$32+(Assumptions!$D$33-Assumptions!$D$32)*6/11</f>
        <v>83.181818181818187</v>
      </c>
      <c r="J86" s="20">
        <f>Assumptions!$D$32+(Assumptions!$D$33-Assumptions!$D$32)*7/11</f>
        <v>84.545454545454547</v>
      </c>
      <c r="K86" s="20">
        <f>Assumptions!$D$32+(Assumptions!$D$33-Assumptions!$D$32)*8/11</f>
        <v>85.909090909090907</v>
      </c>
      <c r="L86" s="20">
        <f>Assumptions!$D$32+(Assumptions!$D$33-Assumptions!$D$32)*9/11</f>
        <v>87.27272727272728</v>
      </c>
      <c r="M86" s="20">
        <f>Assumptions!$D$32+(Assumptions!$D$33-Assumptions!$D$32)*10/11</f>
        <v>88.63636363636364</v>
      </c>
      <c r="N86" s="20">
        <f>Assumptions!$D$32+(Assumptions!$D$33-Assumptions!$D$32)*11/11</f>
        <v>90</v>
      </c>
    </row>
    <row r="87" spans="1:15" x14ac:dyDescent="0.3">
      <c r="A87" s="9" t="s">
        <v>85</v>
      </c>
      <c r="C87" s="18">
        <f t="shared" ref="C87:N87" si="27">ABS(C71)/30*C86</f>
        <v>1029600</v>
      </c>
      <c r="D87" s="18">
        <f t="shared" si="27"/>
        <v>1053561.6000000001</v>
      </c>
      <c r="E87" s="18">
        <f t="shared" si="27"/>
        <v>1077737.0759999999</v>
      </c>
      <c r="F87" s="18">
        <f t="shared" si="27"/>
        <v>1102127.9677199996</v>
      </c>
      <c r="G87" s="18">
        <f t="shared" si="27"/>
        <v>1126735.8249302993</v>
      </c>
      <c r="H87" s="18">
        <f t="shared" si="27"/>
        <v>1151562.2075135089</v>
      </c>
      <c r="I87" s="18">
        <f t="shared" si="27"/>
        <v>1176608.6855269277</v>
      </c>
      <c r="J87" s="18">
        <f t="shared" si="27"/>
        <v>1201876.8392652927</v>
      </c>
      <c r="K87" s="18">
        <f t="shared" si="27"/>
        <v>1227368.2593239034</v>
      </c>
      <c r="L87" s="18">
        <f t="shared" si="27"/>
        <v>1253084.5466621183</v>
      </c>
      <c r="M87" s="18">
        <f t="shared" si="27"/>
        <v>1279027.3126672325</v>
      </c>
      <c r="N87" s="18">
        <f t="shared" si="27"/>
        <v>1305198.1792187307</v>
      </c>
    </row>
    <row r="88" spans="1:15" x14ac:dyDescent="0.3">
      <c r="A88" s="9" t="s">
        <v>86</v>
      </c>
      <c r="C88" s="20">
        <f>Assumptions!$D$36</f>
        <v>7</v>
      </c>
      <c r="D88" s="20">
        <f>Assumptions!$D$36</f>
        <v>7</v>
      </c>
      <c r="E88" s="20">
        <f>Assumptions!$D$36</f>
        <v>7</v>
      </c>
      <c r="F88" s="20">
        <f>Assumptions!$D$36</f>
        <v>7</v>
      </c>
      <c r="G88" s="20">
        <f>Assumptions!$D$36</f>
        <v>7</v>
      </c>
      <c r="H88" s="20">
        <f>Assumptions!$D$36</f>
        <v>7</v>
      </c>
      <c r="I88" s="20">
        <f>Assumptions!$D$36</f>
        <v>7</v>
      </c>
      <c r="J88" s="20">
        <f>Assumptions!$D$36</f>
        <v>7</v>
      </c>
      <c r="K88" s="20">
        <f>Assumptions!$D$36</f>
        <v>7</v>
      </c>
      <c r="L88" s="20">
        <f>Assumptions!$D$36</f>
        <v>7</v>
      </c>
      <c r="M88" s="20">
        <f>Assumptions!$D$36</f>
        <v>7</v>
      </c>
      <c r="N88" s="20">
        <f>Assumptions!$D$36</f>
        <v>7</v>
      </c>
    </row>
    <row r="89" spans="1:15" x14ac:dyDescent="0.3">
      <c r="A89" s="9" t="s">
        <v>87</v>
      </c>
      <c r="C89" s="18">
        <f t="shared" ref="C89:N89" si="28">C70/30*C88</f>
        <v>184800</v>
      </c>
      <c r="D89" s="18">
        <f t="shared" si="28"/>
        <v>185724</v>
      </c>
      <c r="E89" s="18">
        <f t="shared" si="28"/>
        <v>186652.61999999994</v>
      </c>
      <c r="F89" s="18">
        <f t="shared" si="28"/>
        <v>187585.88309999992</v>
      </c>
      <c r="G89" s="18">
        <f t="shared" si="28"/>
        <v>188523.81251549986</v>
      </c>
      <c r="H89" s="18">
        <f t="shared" si="28"/>
        <v>189466.43157807738</v>
      </c>
      <c r="I89" s="18">
        <f t="shared" si="28"/>
        <v>190413.76373596769</v>
      </c>
      <c r="J89" s="18">
        <f t="shared" si="28"/>
        <v>191365.83255464752</v>
      </c>
      <c r="K89" s="18">
        <f t="shared" si="28"/>
        <v>192322.66171742076</v>
      </c>
      <c r="L89" s="18">
        <f t="shared" si="28"/>
        <v>193284.27502600782</v>
      </c>
      <c r="M89" s="18">
        <f t="shared" si="28"/>
        <v>194250.69640113786</v>
      </c>
      <c r="N89" s="18">
        <f t="shared" si="28"/>
        <v>195221.94988314348</v>
      </c>
    </row>
    <row r="90" spans="1:15" x14ac:dyDescent="0.3">
      <c r="A90" s="9" t="s">
        <v>88</v>
      </c>
      <c r="C90" s="20">
        <f>Assumptions!$D$34</f>
        <v>30</v>
      </c>
      <c r="D90" s="20">
        <f>Assumptions!$D$34+(Assumptions!$D$35-Assumptions!$D$34)*1/11</f>
        <v>31.363636363636363</v>
      </c>
      <c r="E90" s="20">
        <f>Assumptions!$D$34+(Assumptions!$D$35-Assumptions!$D$34)*2/11</f>
        <v>32.727272727272727</v>
      </c>
      <c r="F90" s="20">
        <f>Assumptions!$D$34+(Assumptions!$D$35-Assumptions!$D$34)*3/11</f>
        <v>34.090909090909093</v>
      </c>
      <c r="G90" s="20">
        <f>Assumptions!$D$34+(Assumptions!$D$35-Assumptions!$D$34)*4/11</f>
        <v>35.454545454545453</v>
      </c>
      <c r="H90" s="20">
        <f>Assumptions!$D$34+(Assumptions!$D$35-Assumptions!$D$34)*5/11</f>
        <v>36.81818181818182</v>
      </c>
      <c r="I90" s="20">
        <f>Assumptions!$D$34+(Assumptions!$D$35-Assumptions!$D$34)*6/11</f>
        <v>38.18181818181818</v>
      </c>
      <c r="J90" s="20">
        <f>Assumptions!$D$34+(Assumptions!$D$35-Assumptions!$D$34)*7/11</f>
        <v>39.545454545454547</v>
      </c>
      <c r="K90" s="20">
        <f>Assumptions!$D$34+(Assumptions!$D$35-Assumptions!$D$34)*8/11</f>
        <v>40.909090909090907</v>
      </c>
      <c r="L90" s="20">
        <f>Assumptions!$D$34+(Assumptions!$D$35-Assumptions!$D$34)*9/11</f>
        <v>42.272727272727273</v>
      </c>
      <c r="M90" s="20">
        <f>Assumptions!$D$34+(Assumptions!$D$35-Assumptions!$D$34)*10/11</f>
        <v>43.63636363636364</v>
      </c>
      <c r="N90" s="20">
        <f>Assumptions!$D$34+(Assumptions!$D$35-Assumptions!$D$34)*11/11</f>
        <v>45</v>
      </c>
    </row>
    <row r="91" spans="1:15" x14ac:dyDescent="0.3">
      <c r="A91" s="9" t="s">
        <v>89</v>
      </c>
      <c r="C91" s="18">
        <f t="shared" ref="C91:N91" si="29">ABS(C71)/30*C90</f>
        <v>411840</v>
      </c>
      <c r="D91" s="18">
        <f t="shared" si="29"/>
        <v>432712.80000000005</v>
      </c>
      <c r="E91" s="18">
        <f t="shared" si="29"/>
        <v>453784.03199999995</v>
      </c>
      <c r="F91" s="18">
        <f t="shared" si="29"/>
        <v>475055.15849999984</v>
      </c>
      <c r="G91" s="18">
        <f t="shared" si="29"/>
        <v>496527.65166419966</v>
      </c>
      <c r="H91" s="18">
        <f t="shared" si="29"/>
        <v>518202.99338107911</v>
      </c>
      <c r="I91" s="18">
        <f t="shared" si="29"/>
        <v>540082.67532383569</v>
      </c>
      <c r="J91" s="18">
        <f t="shared" si="29"/>
        <v>562168.19901118532</v>
      </c>
      <c r="K91" s="18">
        <f t="shared" si="29"/>
        <v>584461.07586852531</v>
      </c>
      <c r="L91" s="18">
        <f t="shared" si="29"/>
        <v>606962.82728946349</v>
      </c>
      <c r="M91" s="18">
        <f t="shared" si="29"/>
        <v>629674.98469771445</v>
      </c>
      <c r="N91" s="18">
        <f t="shared" si="29"/>
        <v>652599.08960936533</v>
      </c>
    </row>
  </sheetData>
  <mergeCells count="10">
    <mergeCell ref="A49:O49"/>
    <mergeCell ref="A52:O52"/>
    <mergeCell ref="A59:O59"/>
    <mergeCell ref="A69:O69"/>
    <mergeCell ref="A85:O85"/>
    <mergeCell ref="A1:O1"/>
    <mergeCell ref="A4:O4"/>
    <mergeCell ref="A11:O11"/>
    <mergeCell ref="A21:O21"/>
    <mergeCell ref="A37:O3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"/>
  <sheetViews>
    <sheetView zoomScaleNormal="100" workbookViewId="0">
      <selection activeCell="C12" sqref="C12"/>
    </sheetView>
  </sheetViews>
  <sheetFormatPr defaultColWidth="8.6640625" defaultRowHeight="14.4" x14ac:dyDescent="0.3"/>
  <cols>
    <col min="1" max="1" width="36" customWidth="1"/>
    <col min="2" max="2" width="8" customWidth="1"/>
    <col min="3" max="14" width="11" customWidth="1"/>
    <col min="15" max="15" width="13" customWidth="1"/>
  </cols>
  <sheetData>
    <row r="1" spans="1:15" ht="19.5" customHeight="1" x14ac:dyDescent="0.3">
      <c r="A1" s="3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3">
      <c r="A2" s="6" t="s">
        <v>44</v>
      </c>
      <c r="C2" s="15" t="s">
        <v>45</v>
      </c>
      <c r="D2" s="15" t="s">
        <v>46</v>
      </c>
      <c r="E2" s="15" t="s">
        <v>47</v>
      </c>
      <c r="F2" s="15" t="s">
        <v>48</v>
      </c>
      <c r="G2" s="15" t="s">
        <v>49</v>
      </c>
      <c r="H2" s="15" t="s">
        <v>50</v>
      </c>
      <c r="I2" s="15" t="s">
        <v>51</v>
      </c>
      <c r="J2" s="15" t="s">
        <v>52</v>
      </c>
      <c r="K2" s="15" t="s">
        <v>53</v>
      </c>
      <c r="L2" s="15" t="s">
        <v>54</v>
      </c>
      <c r="M2" s="15" t="s">
        <v>55</v>
      </c>
      <c r="N2" s="15" t="s">
        <v>56</v>
      </c>
      <c r="O2" s="15" t="s">
        <v>57</v>
      </c>
    </row>
    <row r="4" spans="1:15" x14ac:dyDescent="0.3">
      <c r="A4" s="4" t="s">
        <v>92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">
      <c r="A5" s="9" t="s">
        <v>93</v>
      </c>
      <c r="C5" s="21">
        <f>'P&amp;L'!C35</f>
        <v>151045</v>
      </c>
      <c r="D5" s="21">
        <f>'P&amp;L'!D35</f>
        <v>157480.78749999998</v>
      </c>
      <c r="E5" s="21">
        <f>'P&amp;L'!E35</f>
        <v>164053.88879875001</v>
      </c>
      <c r="F5" s="21">
        <f>'P&amp;L'!F35</f>
        <v>170767.2647746274</v>
      </c>
      <c r="G5" s="21">
        <f>'P&amp;L'!G35</f>
        <v>177623.94063507312</v>
      </c>
      <c r="H5" s="21">
        <f>'P&amp;L'!H35</f>
        <v>184627.00732166844</v>
      </c>
      <c r="I5" s="21">
        <f>'P&amp;L'!I35</f>
        <v>191779.62294601585</v>
      </c>
      <c r="J5" s="21">
        <f>'P&amp;L'!J35</f>
        <v>199085.01425709971</v>
      </c>
      <c r="K5" s="21">
        <f>'P&amp;L'!K35</f>
        <v>206546.47814081796</v>
      </c>
      <c r="L5" s="21">
        <f>'P&amp;L'!L35</f>
        <v>214167.38315239595</v>
      </c>
      <c r="M5" s="21">
        <f>'P&amp;L'!M35</f>
        <v>221951.1710823999</v>
      </c>
      <c r="N5" s="21">
        <f>'P&amp;L'!N35</f>
        <v>229901.35855709197</v>
      </c>
      <c r="O5" s="18">
        <f>SUM(C5:N5)</f>
        <v>2269028.9171659402</v>
      </c>
    </row>
    <row r="6" spans="1:15" x14ac:dyDescent="0.3">
      <c r="A6" s="9" t="s">
        <v>94</v>
      </c>
      <c r="C6" s="21">
        <f>-'P&amp;L'!C34</f>
        <v>5000</v>
      </c>
      <c r="D6" s="21">
        <f>-'P&amp;L'!D34</f>
        <v>5000</v>
      </c>
      <c r="E6" s="21">
        <f>-'P&amp;L'!E34</f>
        <v>5000</v>
      </c>
      <c r="F6" s="21">
        <f>-'P&amp;L'!F34</f>
        <v>5000</v>
      </c>
      <c r="G6" s="21">
        <f>-'P&amp;L'!G34</f>
        <v>5000</v>
      </c>
      <c r="H6" s="21">
        <f>-'P&amp;L'!H34</f>
        <v>5000</v>
      </c>
      <c r="I6" s="21">
        <f>-'P&amp;L'!I34</f>
        <v>5000</v>
      </c>
      <c r="J6" s="21">
        <f>-'P&amp;L'!J34</f>
        <v>5000</v>
      </c>
      <c r="K6" s="21">
        <f>-'P&amp;L'!K34</f>
        <v>5000</v>
      </c>
      <c r="L6" s="21">
        <f>-'P&amp;L'!L34</f>
        <v>5000</v>
      </c>
      <c r="M6" s="21">
        <f>-'P&amp;L'!M34</f>
        <v>5000</v>
      </c>
      <c r="N6" s="21">
        <f>-'P&amp;L'!N34</f>
        <v>5000</v>
      </c>
      <c r="O6" s="18">
        <f>SUM(C6:N6)</f>
        <v>60000</v>
      </c>
    </row>
    <row r="7" spans="1:15" x14ac:dyDescent="0.3">
      <c r="A7" s="4" t="s">
        <v>95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3">
      <c r="A8" s="9" t="s">
        <v>96</v>
      </c>
      <c r="C8" s="18">
        <f>-'P&amp;L'!C39</f>
        <v>-1088160</v>
      </c>
      <c r="D8" s="18">
        <f>-('P&amp;L'!D39-'P&amp;L'!C39)</f>
        <v>-39716.781818181742</v>
      </c>
      <c r="E8" s="18">
        <f>-('P&amp;L'!E39-'P&amp;L'!D39)</f>
        <v>-40913.22159272735</v>
      </c>
      <c r="F8" s="18">
        <f>-('P&amp;L'!F39-'P&amp;L'!E39)</f>
        <v>-42142.859589725966</v>
      </c>
      <c r="G8" s="18">
        <f>-('P&amp;L'!G39-'P&amp;L'!F39)</f>
        <v>-43406.576431290014</v>
      </c>
      <c r="H8" s="18">
        <f>-('P&amp;L'!H39-'P&amp;L'!G39)</f>
        <v>-44705.275441526901</v>
      </c>
      <c r="I8" s="18">
        <f>-('P&amp;L'!I39-'P&amp;L'!H39)</f>
        <v>-46039.883220185526</v>
      </c>
      <c r="J8" s="18">
        <f>-('P&amp;L'!J39-'P&amp;L'!I39)</f>
        <v>-47411.350230579264</v>
      </c>
      <c r="K8" s="18">
        <f>-('P&amp;L'!K39-'P&amp;L'!J39)</f>
        <v>-48820.651402141666</v>
      </c>
      <c r="L8" s="18">
        <f>-('P&amp;L'!L39-'P&amp;L'!K39)</f>
        <v>-50268.786747968988</v>
      </c>
      <c r="M8" s="18">
        <f>-('P&amp;L'!M39-'P&amp;L'!L39)</f>
        <v>-51756.781997720478</v>
      </c>
      <c r="N8" s="18">
        <f>-('P&amp;L'!N39-'P&amp;L'!M39)</f>
        <v>-53285.689246259164</v>
      </c>
      <c r="O8" s="18">
        <f>SUM(C8:N8)</f>
        <v>-1596627.8577183071</v>
      </c>
    </row>
    <row r="9" spans="1:15" x14ac:dyDescent="0.3">
      <c r="A9" s="9" t="s">
        <v>97</v>
      </c>
      <c r="C9" s="18">
        <f>-'P&amp;L'!C41</f>
        <v>-188916.66666666669</v>
      </c>
      <c r="D9" s="18">
        <f>-('P&amp;L'!D41-'P&amp;L'!C41)</f>
        <v>-3972.7083333333139</v>
      </c>
      <c r="E9" s="18">
        <f>-('P&amp;L'!E41-'P&amp;L'!D41)</f>
        <v>-4057.4699374999909</v>
      </c>
      <c r="F9" s="18">
        <f>-('P&amp;L'!F41-'P&amp;L'!E41)</f>
        <v>-4144.0592443687783</v>
      </c>
      <c r="G9" s="18">
        <f>-('P&amp;L'!G41-'P&amp;L'!F41)</f>
        <v>-4232.5159632380528</v>
      </c>
      <c r="H9" s="18">
        <f>-('P&amp;L'!H41-'P&amp;L'!G41)</f>
        <v>-4322.8806707378535</v>
      </c>
      <c r="I9" s="18">
        <f>-('P&amp;L'!I41-'P&amp;L'!H41)</f>
        <v>-4415.1948298441421</v>
      </c>
      <c r="J9" s="18">
        <f>-('P&amp;L'!J41-'P&amp;L'!I41)</f>
        <v>-4509.5008093109645</v>
      </c>
      <c r="K9" s="18">
        <f>-('P&amp;L'!K41-'P&amp;L'!J41)</f>
        <v>-4605.8419035298284</v>
      </c>
      <c r="L9" s="18">
        <f>-('P&amp;L'!L41-'P&amp;L'!K41)</f>
        <v>-4704.2623528259282</v>
      </c>
      <c r="M9" s="18">
        <f>-('P&amp;L'!M41-'P&amp;L'!L41)</f>
        <v>-4804.8073641999217</v>
      </c>
      <c r="N9" s="18">
        <f>-('P&amp;L'!N41-'P&amp;L'!M41)</f>
        <v>-4907.5231325259665</v>
      </c>
      <c r="O9" s="18">
        <f>SUM(C9:N9)</f>
        <v>-237593.43120808143</v>
      </c>
    </row>
    <row r="10" spans="1:15" x14ac:dyDescent="0.3">
      <c r="A10" s="9" t="s">
        <v>98</v>
      </c>
      <c r="C10" s="18">
        <f>'P&amp;L'!C43</f>
        <v>544080</v>
      </c>
      <c r="D10" s="18">
        <f>'P&amp;L'!D43-'P&amp;L'!C43</f>
        <v>36692.372727272799</v>
      </c>
      <c r="E10" s="18">
        <f>'P&amp;L'!E43-'P&amp;L'!D43</f>
        <v>37998.805549090845</v>
      </c>
      <c r="F10" s="18">
        <f>'P&amp;L'!F43-'P&amp;L'!E43</f>
        <v>39344.508137025055</v>
      </c>
      <c r="G10" s="18">
        <f>'P&amp;L'!G43-'P&amp;L'!F43</f>
        <v>40730.572698683827</v>
      </c>
      <c r="H10" s="18">
        <f>'P&amp;L'!H43-'P&amp;L'!G43</f>
        <v>42158.120498840231</v>
      </c>
      <c r="I10" s="18">
        <f>'P&amp;L'!I43-'P&amp;L'!H43</f>
        <v>43628.302610375686</v>
      </c>
      <c r="J10" s="18">
        <f>'P&amp;L'!J43-'P&amp;L'!I43</f>
        <v>45142.300684237969</v>
      </c>
      <c r="K10" s="18">
        <f>'P&amp;L'!K43-'P&amp;L'!J43</f>
        <v>46701.327738880762</v>
      </c>
      <c r="L10" s="18">
        <f>'P&amp;L'!L43-'P&amp;L'!K43</f>
        <v>48306.628969675745</v>
      </c>
      <c r="M10" s="18">
        <f>'P&amp;L'!M43-'P&amp;L'!L43</f>
        <v>49959.482578789466</v>
      </c>
      <c r="N10" s="18">
        <f>'P&amp;L'!N43-'P&amp;L'!M43</f>
        <v>51661.200626039295</v>
      </c>
      <c r="O10" s="18">
        <f>SUM(C10:N10)</f>
        <v>1026403.6228189117</v>
      </c>
    </row>
    <row r="11" spans="1:15" x14ac:dyDescent="0.3">
      <c r="A11" s="6" t="s">
        <v>99</v>
      </c>
      <c r="C11" s="19">
        <f t="shared" ref="C11:N11" si="0">C8+C9+C10</f>
        <v>-732996.66666666674</v>
      </c>
      <c r="D11" s="19">
        <f t="shared" si="0"/>
        <v>-6997.1174242422567</v>
      </c>
      <c r="E11" s="19">
        <f t="shared" si="0"/>
        <v>-6971.8859811364964</v>
      </c>
      <c r="F11" s="19">
        <f t="shared" si="0"/>
        <v>-6942.4106970696885</v>
      </c>
      <c r="G11" s="19">
        <f t="shared" si="0"/>
        <v>-6908.5196958442393</v>
      </c>
      <c r="H11" s="19">
        <f t="shared" si="0"/>
        <v>-6870.035613424523</v>
      </c>
      <c r="I11" s="19">
        <f t="shared" si="0"/>
        <v>-6826.7754396539822</v>
      </c>
      <c r="J11" s="19">
        <f t="shared" si="0"/>
        <v>-6778.5503556522599</v>
      </c>
      <c r="K11" s="19">
        <f t="shared" si="0"/>
        <v>-6725.1655667907326</v>
      </c>
      <c r="L11" s="19">
        <f t="shared" si="0"/>
        <v>-6666.4201311191719</v>
      </c>
      <c r="M11" s="19">
        <f t="shared" si="0"/>
        <v>-6602.1067831309338</v>
      </c>
      <c r="N11" s="19">
        <f t="shared" si="0"/>
        <v>-6532.0117527458351</v>
      </c>
      <c r="O11" s="19">
        <f>SUM(C11:N11)</f>
        <v>-807817.66610747681</v>
      </c>
    </row>
    <row r="12" spans="1:15" x14ac:dyDescent="0.3">
      <c r="A12" s="6" t="s">
        <v>100</v>
      </c>
      <c r="C12" s="19">
        <f t="shared" ref="C12:N12" si="1">C5+C6+C11</f>
        <v>-576951.66666666674</v>
      </c>
      <c r="D12" s="19">
        <f t="shared" si="1"/>
        <v>155483.67007575772</v>
      </c>
      <c r="E12" s="19">
        <f t="shared" si="1"/>
        <v>162082.00281761351</v>
      </c>
      <c r="F12" s="19">
        <f t="shared" si="1"/>
        <v>168824.85407755771</v>
      </c>
      <c r="G12" s="19">
        <f t="shared" si="1"/>
        <v>175715.42093922888</v>
      </c>
      <c r="H12" s="19">
        <f t="shared" si="1"/>
        <v>182756.97170824392</v>
      </c>
      <c r="I12" s="19">
        <f t="shared" si="1"/>
        <v>189952.84750636187</v>
      </c>
      <c r="J12" s="19">
        <f t="shared" si="1"/>
        <v>197306.46390144745</v>
      </c>
      <c r="K12" s="19">
        <f t="shared" si="1"/>
        <v>204821.31257402722</v>
      </c>
      <c r="L12" s="19">
        <f t="shared" si="1"/>
        <v>212500.96302127678</v>
      </c>
      <c r="M12" s="19">
        <f t="shared" si="1"/>
        <v>220349.06429926897</v>
      </c>
      <c r="N12" s="19">
        <f t="shared" si="1"/>
        <v>228369.34680434613</v>
      </c>
      <c r="O12" s="19">
        <f>SUM(C12:N12)</f>
        <v>1521211.2510584635</v>
      </c>
    </row>
    <row r="14" spans="1:15" x14ac:dyDescent="0.3">
      <c r="A14" s="4" t="s">
        <v>101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">
      <c r="A15" s="9" t="s">
        <v>102</v>
      </c>
      <c r="C15" s="18">
        <f>-Assumptions!$C$29</f>
        <v>-10000</v>
      </c>
      <c r="D15" s="18">
        <f>-Assumptions!$C$29</f>
        <v>-10000</v>
      </c>
      <c r="E15" s="18">
        <f>-Assumptions!$C$29</f>
        <v>-10000</v>
      </c>
      <c r="F15" s="18">
        <f>-Assumptions!$C$29</f>
        <v>-10000</v>
      </c>
      <c r="G15" s="18">
        <f>-Assumptions!$C$29</f>
        <v>-10000</v>
      </c>
      <c r="H15" s="18">
        <f>-Assumptions!$C$29</f>
        <v>-10000</v>
      </c>
      <c r="I15" s="18">
        <f>-Assumptions!$C$29</f>
        <v>-10000</v>
      </c>
      <c r="J15" s="18">
        <f>-Assumptions!$C$29</f>
        <v>-10000</v>
      </c>
      <c r="K15" s="18">
        <f>-Assumptions!$C$29</f>
        <v>-10000</v>
      </c>
      <c r="L15" s="18">
        <f>-Assumptions!$C$29</f>
        <v>-10000</v>
      </c>
      <c r="M15" s="18">
        <f>-Assumptions!$C$29</f>
        <v>-10000</v>
      </c>
      <c r="N15" s="18">
        <f>-Assumptions!$C$29</f>
        <v>-10000</v>
      </c>
      <c r="O15" s="18">
        <f>SUM(C15:N15)</f>
        <v>-120000</v>
      </c>
    </row>
    <row r="16" spans="1:15" x14ac:dyDescent="0.3">
      <c r="A16" s="6" t="s">
        <v>103</v>
      </c>
      <c r="C16" s="19">
        <f t="shared" ref="C16:N16" si="2">C15</f>
        <v>-10000</v>
      </c>
      <c r="D16" s="19">
        <f t="shared" si="2"/>
        <v>-10000</v>
      </c>
      <c r="E16" s="19">
        <f t="shared" si="2"/>
        <v>-10000</v>
      </c>
      <c r="F16" s="19">
        <f t="shared" si="2"/>
        <v>-10000</v>
      </c>
      <c r="G16" s="19">
        <f t="shared" si="2"/>
        <v>-10000</v>
      </c>
      <c r="H16" s="19">
        <f t="shared" si="2"/>
        <v>-10000</v>
      </c>
      <c r="I16" s="19">
        <f t="shared" si="2"/>
        <v>-10000</v>
      </c>
      <c r="J16" s="19">
        <f t="shared" si="2"/>
        <v>-10000</v>
      </c>
      <c r="K16" s="19">
        <f t="shared" si="2"/>
        <v>-10000</v>
      </c>
      <c r="L16" s="19">
        <f t="shared" si="2"/>
        <v>-10000</v>
      </c>
      <c r="M16" s="19">
        <f t="shared" si="2"/>
        <v>-10000</v>
      </c>
      <c r="N16" s="19">
        <f t="shared" si="2"/>
        <v>-10000</v>
      </c>
      <c r="O16" s="19">
        <f>SUM(C16:N16)</f>
        <v>-120000</v>
      </c>
    </row>
    <row r="18" spans="1:15" x14ac:dyDescent="0.3">
      <c r="A18" s="4" t="s">
        <v>104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3">
      <c r="A19" s="6" t="s">
        <v>105</v>
      </c>
      <c r="C19" s="19">
        <f>0</f>
        <v>0</v>
      </c>
      <c r="D19" s="19">
        <f>0</f>
        <v>0</v>
      </c>
      <c r="E19" s="19">
        <f>0</f>
        <v>0</v>
      </c>
      <c r="F19" s="19">
        <f>0</f>
        <v>0</v>
      </c>
      <c r="G19" s="19">
        <f>0</f>
        <v>0</v>
      </c>
      <c r="H19" s="19">
        <f>0</f>
        <v>0</v>
      </c>
      <c r="I19" s="19">
        <f>0</f>
        <v>0</v>
      </c>
      <c r="J19" s="19">
        <f>0</f>
        <v>0</v>
      </c>
      <c r="K19" s="19">
        <f>0</f>
        <v>0</v>
      </c>
      <c r="L19" s="19">
        <f>0</f>
        <v>0</v>
      </c>
      <c r="M19" s="19">
        <f>0</f>
        <v>0</v>
      </c>
      <c r="N19" s="19">
        <f>0</f>
        <v>0</v>
      </c>
      <c r="O19" s="19">
        <f>SUM(C19:N19)</f>
        <v>0</v>
      </c>
    </row>
    <row r="21" spans="1:15" x14ac:dyDescent="0.3">
      <c r="A21" s="6" t="s">
        <v>106</v>
      </c>
      <c r="C21" s="19">
        <f t="shared" ref="C21:N21" si="3">C12+C16+C19</f>
        <v>-586951.66666666674</v>
      </c>
      <c r="D21" s="19">
        <f t="shared" si="3"/>
        <v>145483.67007575772</v>
      </c>
      <c r="E21" s="19">
        <f t="shared" si="3"/>
        <v>152082.00281761351</v>
      </c>
      <c r="F21" s="19">
        <f t="shared" si="3"/>
        <v>158824.85407755771</v>
      </c>
      <c r="G21" s="19">
        <f t="shared" si="3"/>
        <v>165715.42093922888</v>
      </c>
      <c r="H21" s="19">
        <f t="shared" si="3"/>
        <v>172756.97170824392</v>
      </c>
      <c r="I21" s="19">
        <f t="shared" si="3"/>
        <v>179952.84750636187</v>
      </c>
      <c r="J21" s="19">
        <f t="shared" si="3"/>
        <v>187306.46390144745</v>
      </c>
      <c r="K21" s="19">
        <f t="shared" si="3"/>
        <v>194821.31257402722</v>
      </c>
      <c r="L21" s="19">
        <f t="shared" si="3"/>
        <v>202500.96302127678</v>
      </c>
      <c r="M21" s="19">
        <f t="shared" si="3"/>
        <v>210349.06429926897</v>
      </c>
      <c r="N21" s="19">
        <f t="shared" si="3"/>
        <v>218369.34680434613</v>
      </c>
      <c r="O21" s="19">
        <f>SUM(C21:N21)</f>
        <v>1401211.2510584635</v>
      </c>
    </row>
    <row r="22" spans="1:15" x14ac:dyDescent="0.3">
      <c r="A22" s="9" t="s">
        <v>107</v>
      </c>
      <c r="C22" s="21">
        <f>Assumptions!$C$39</f>
        <v>500000</v>
      </c>
      <c r="D22" s="18">
        <f t="shared" ref="D22:N22" si="4">C23</f>
        <v>-86951.666666666744</v>
      </c>
      <c r="E22" s="18">
        <f t="shared" si="4"/>
        <v>58532.003409090976</v>
      </c>
      <c r="F22" s="18">
        <f t="shared" si="4"/>
        <v>210614.00622670449</v>
      </c>
      <c r="G22" s="18">
        <f t="shared" si="4"/>
        <v>369438.8603042622</v>
      </c>
      <c r="H22" s="18">
        <f t="shared" si="4"/>
        <v>535154.2812434911</v>
      </c>
      <c r="I22" s="18">
        <f t="shared" si="4"/>
        <v>707911.25295173505</v>
      </c>
      <c r="J22" s="18">
        <f t="shared" si="4"/>
        <v>887864.10045809695</v>
      </c>
      <c r="K22" s="18">
        <f t="shared" si="4"/>
        <v>1075170.5643595443</v>
      </c>
      <c r="L22" s="18">
        <f t="shared" si="4"/>
        <v>1269991.8769335714</v>
      </c>
      <c r="M22" s="18">
        <f t="shared" si="4"/>
        <v>1472492.8399548482</v>
      </c>
      <c r="N22" s="18">
        <f t="shared" si="4"/>
        <v>1682841.904254117</v>
      </c>
      <c r="O22" s="21">
        <f>Assumptions!$C$39</f>
        <v>500000</v>
      </c>
    </row>
    <row r="23" spans="1:15" x14ac:dyDescent="0.3">
      <c r="A23" s="6" t="s">
        <v>108</v>
      </c>
      <c r="C23" s="19">
        <f t="shared" ref="C23:N23" si="5">C22+C21</f>
        <v>-86951.666666666744</v>
      </c>
      <c r="D23" s="19">
        <f t="shared" si="5"/>
        <v>58532.003409090976</v>
      </c>
      <c r="E23" s="19">
        <f t="shared" si="5"/>
        <v>210614.00622670449</v>
      </c>
      <c r="F23" s="19">
        <f t="shared" si="5"/>
        <v>369438.8603042622</v>
      </c>
      <c r="G23" s="19">
        <f t="shared" si="5"/>
        <v>535154.2812434911</v>
      </c>
      <c r="H23" s="19">
        <f t="shared" si="5"/>
        <v>707911.25295173505</v>
      </c>
      <c r="I23" s="19">
        <f t="shared" si="5"/>
        <v>887864.10045809695</v>
      </c>
      <c r="J23" s="19">
        <f t="shared" si="5"/>
        <v>1075170.5643595443</v>
      </c>
      <c r="K23" s="19">
        <f t="shared" si="5"/>
        <v>1269991.8769335714</v>
      </c>
      <c r="L23" s="19">
        <f t="shared" si="5"/>
        <v>1472492.8399548482</v>
      </c>
      <c r="M23" s="19">
        <f t="shared" si="5"/>
        <v>1682841.904254117</v>
      </c>
      <c r="N23" s="19">
        <f t="shared" si="5"/>
        <v>1901211.2510584632</v>
      </c>
      <c r="O23" s="19">
        <f>N23</f>
        <v>1901211.2510584632</v>
      </c>
    </row>
    <row r="28" spans="1:15" ht="19.5" customHeight="1" x14ac:dyDescent="0.3">
      <c r="A28" s="2" t="s">
        <v>109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">
      <c r="A29" s="6" t="s">
        <v>44</v>
      </c>
      <c r="C29" s="15" t="s">
        <v>45</v>
      </c>
      <c r="D29" s="15" t="s">
        <v>46</v>
      </c>
      <c r="E29" s="15" t="s">
        <v>47</v>
      </c>
      <c r="F29" s="15" t="s">
        <v>48</v>
      </c>
      <c r="G29" s="15" t="s">
        <v>49</v>
      </c>
      <c r="H29" s="15" t="s">
        <v>50</v>
      </c>
      <c r="I29" s="15" t="s">
        <v>51</v>
      </c>
      <c r="J29" s="15" t="s">
        <v>52</v>
      </c>
      <c r="K29" s="15" t="s">
        <v>53</v>
      </c>
      <c r="L29" s="15" t="s">
        <v>54</v>
      </c>
      <c r="M29" s="15" t="s">
        <v>55</v>
      </c>
      <c r="N29" s="15" t="s">
        <v>56</v>
      </c>
      <c r="O29" s="15" t="s">
        <v>57</v>
      </c>
    </row>
    <row r="31" spans="1:15" x14ac:dyDescent="0.3">
      <c r="A31" s="4" t="s">
        <v>92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">
      <c r="A32" s="9" t="s">
        <v>93</v>
      </c>
      <c r="C32" s="21">
        <f>'P&amp;L'!C83</f>
        <v>11320</v>
      </c>
      <c r="D32" s="21">
        <f>'P&amp;L'!D83</f>
        <v>12151.599999999977</v>
      </c>
      <c r="E32" s="21">
        <f>'P&amp;L'!E83</f>
        <v>12987.357999999949</v>
      </c>
      <c r="F32" s="21">
        <f>'P&amp;L'!F83</f>
        <v>13827.294789999956</v>
      </c>
      <c r="G32" s="21">
        <f>'P&amp;L'!G83</f>
        <v>14671.431263949897</v>
      </c>
      <c r="H32" s="21">
        <f>'P&amp;L'!H83</f>
        <v>15519.788420269615</v>
      </c>
      <c r="I32" s="21">
        <f>'P&amp;L'!I83</f>
        <v>16372.387362370908</v>
      </c>
      <c r="J32" s="21">
        <f>'P&amp;L'!J83</f>
        <v>17229.249299182789</v>
      </c>
      <c r="K32" s="21">
        <f>'P&amp;L'!K83</f>
        <v>18090.395545678679</v>
      </c>
      <c r="L32" s="21">
        <f>'P&amp;L'!L83</f>
        <v>18955.847523407079</v>
      </c>
      <c r="M32" s="21">
        <f>'P&amp;L'!M83</f>
        <v>19825.626761024061</v>
      </c>
      <c r="N32" s="21">
        <f>'P&amp;L'!N83</f>
        <v>20699.754894829122</v>
      </c>
      <c r="O32" s="18">
        <f>SUM(C32:N32)</f>
        <v>191650.73386071203</v>
      </c>
    </row>
    <row r="33" spans="1:15" x14ac:dyDescent="0.3">
      <c r="A33" s="9" t="s">
        <v>94</v>
      </c>
      <c r="C33" s="21">
        <f>-'P&amp;L'!C82</f>
        <v>5000</v>
      </c>
      <c r="D33" s="21">
        <f>-'P&amp;L'!D82</f>
        <v>5000</v>
      </c>
      <c r="E33" s="21">
        <f>-'P&amp;L'!E82</f>
        <v>5000</v>
      </c>
      <c r="F33" s="21">
        <f>-'P&amp;L'!F82</f>
        <v>5000</v>
      </c>
      <c r="G33" s="21">
        <f>-'P&amp;L'!G82</f>
        <v>5000</v>
      </c>
      <c r="H33" s="21">
        <f>-'P&amp;L'!H82</f>
        <v>5000</v>
      </c>
      <c r="I33" s="21">
        <f>-'P&amp;L'!I82</f>
        <v>5000</v>
      </c>
      <c r="J33" s="21">
        <f>-'P&amp;L'!J82</f>
        <v>5000</v>
      </c>
      <c r="K33" s="21">
        <f>-'P&amp;L'!K82</f>
        <v>5000</v>
      </c>
      <c r="L33" s="21">
        <f>-'P&amp;L'!L82</f>
        <v>5000</v>
      </c>
      <c r="M33" s="21">
        <f>-'P&amp;L'!M82</f>
        <v>5000</v>
      </c>
      <c r="N33" s="21">
        <f>-'P&amp;L'!N82</f>
        <v>5000</v>
      </c>
      <c r="O33" s="18">
        <f>SUM(C33:N33)</f>
        <v>60000</v>
      </c>
    </row>
    <row r="34" spans="1:15" x14ac:dyDescent="0.3">
      <c r="A34" s="4" t="s">
        <v>95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3">
      <c r="A35" s="9" t="s">
        <v>96</v>
      </c>
      <c r="C35" s="18">
        <f>-'P&amp;L'!C87</f>
        <v>-1029600</v>
      </c>
      <c r="D35" s="18">
        <f>-('P&amp;L'!D87-'P&amp;L'!C87)</f>
        <v>-23961.600000000093</v>
      </c>
      <c r="E35" s="18">
        <f>-('P&amp;L'!E87-'P&amp;L'!D87)</f>
        <v>-24175.475999999791</v>
      </c>
      <c r="F35" s="18">
        <f>-('P&amp;L'!F87-'P&amp;L'!E87)</f>
        <v>-24390.891719999723</v>
      </c>
      <c r="G35" s="18">
        <f>-('P&amp;L'!G87-'P&amp;L'!F87)</f>
        <v>-24607.857210299699</v>
      </c>
      <c r="H35" s="18">
        <f>-('P&amp;L'!H87-'P&amp;L'!G87)</f>
        <v>-24826.382583209546</v>
      </c>
      <c r="I35" s="18">
        <f>-('P&amp;L'!I87-'P&amp;L'!H87)</f>
        <v>-25046.478013418848</v>
      </c>
      <c r="J35" s="18">
        <f>-('P&amp;L'!J87-'P&amp;L'!I87)</f>
        <v>-25268.153738365043</v>
      </c>
      <c r="K35" s="18">
        <f>-('P&amp;L'!K87-'P&amp;L'!J87)</f>
        <v>-25491.420058610616</v>
      </c>
      <c r="L35" s="18">
        <f>-('P&amp;L'!L87-'P&amp;L'!K87)</f>
        <v>-25716.287338214926</v>
      </c>
      <c r="M35" s="18">
        <f>-('P&amp;L'!M87-'P&amp;L'!L87)</f>
        <v>-25942.766005114187</v>
      </c>
      <c r="N35" s="18">
        <f>-('P&amp;L'!N87-'P&amp;L'!M87)</f>
        <v>-26170.866551498184</v>
      </c>
      <c r="O35" s="18">
        <f>SUM(C35:N35)</f>
        <v>-1305198.1792187307</v>
      </c>
    </row>
    <row r="36" spans="1:15" x14ac:dyDescent="0.3">
      <c r="A36" s="9" t="s">
        <v>97</v>
      </c>
      <c r="C36" s="18">
        <f>-'P&amp;L'!C89</f>
        <v>-184800</v>
      </c>
      <c r="D36" s="18">
        <f>-('P&amp;L'!D89-'P&amp;L'!C89)</f>
        <v>-924</v>
      </c>
      <c r="E36" s="18">
        <f>-('P&amp;L'!E89-'P&amp;L'!D89)</f>
        <v>-928.61999999993714</v>
      </c>
      <c r="F36" s="18">
        <f>-('P&amp;L'!F89-'P&amp;L'!E89)</f>
        <v>-933.26309999998193</v>
      </c>
      <c r="G36" s="18">
        <f>-('P&amp;L'!G89-'P&amp;L'!F89)</f>
        <v>-937.92941549993702</v>
      </c>
      <c r="H36" s="18">
        <f>-('P&amp;L'!H89-'P&amp;L'!G89)</f>
        <v>-942.6190625775198</v>
      </c>
      <c r="I36" s="18">
        <f>-('P&amp;L'!I89-'P&amp;L'!H89)</f>
        <v>-947.33215789031237</v>
      </c>
      <c r="J36" s="18">
        <f>-('P&amp;L'!J89-'P&amp;L'!I89)</f>
        <v>-952.06881867983611</v>
      </c>
      <c r="K36" s="18">
        <f>-('P&amp;L'!K89-'P&amp;L'!J89)</f>
        <v>-956.82916277323966</v>
      </c>
      <c r="L36" s="18">
        <f>-('P&amp;L'!L89-'P&amp;L'!K89)</f>
        <v>-961.61330858705333</v>
      </c>
      <c r="M36" s="18">
        <f>-('P&amp;L'!M89-'P&amp;L'!L89)</f>
        <v>-966.42137513004127</v>
      </c>
      <c r="N36" s="18">
        <f>-('P&amp;L'!N89-'P&amp;L'!M89)</f>
        <v>-971.25348200561712</v>
      </c>
      <c r="O36" s="18">
        <f>SUM(C36:N36)</f>
        <v>-195221.94988314348</v>
      </c>
    </row>
    <row r="37" spans="1:15" x14ac:dyDescent="0.3">
      <c r="A37" s="9" t="s">
        <v>98</v>
      </c>
      <c r="C37" s="18">
        <f>'P&amp;L'!C91</f>
        <v>411840</v>
      </c>
      <c r="D37" s="18">
        <f>'P&amp;L'!D91-'P&amp;L'!C91</f>
        <v>20872.800000000047</v>
      </c>
      <c r="E37" s="18">
        <f>'P&amp;L'!E91-'P&amp;L'!D91</f>
        <v>21071.231999999902</v>
      </c>
      <c r="F37" s="18">
        <f>'P&amp;L'!F91-'P&amp;L'!E91</f>
        <v>21271.126499999897</v>
      </c>
      <c r="G37" s="18">
        <f>'P&amp;L'!G91-'P&amp;L'!F91</f>
        <v>21472.493164199812</v>
      </c>
      <c r="H37" s="18">
        <f>'P&amp;L'!H91-'P&amp;L'!G91</f>
        <v>21675.341716879455</v>
      </c>
      <c r="I37" s="18">
        <f>'P&amp;L'!I91-'P&amp;L'!H91</f>
        <v>21879.681942756579</v>
      </c>
      <c r="J37" s="18">
        <f>'P&amp;L'!J91-'P&amp;L'!I91</f>
        <v>22085.523687349632</v>
      </c>
      <c r="K37" s="18">
        <f>'P&amp;L'!K91-'P&amp;L'!J91</f>
        <v>22292.876857339987</v>
      </c>
      <c r="L37" s="18">
        <f>'P&amp;L'!L91-'P&amp;L'!K91</f>
        <v>22501.751420938177</v>
      </c>
      <c r="M37" s="18">
        <f>'P&amp;L'!M91-'P&amp;L'!L91</f>
        <v>22712.157408250961</v>
      </c>
      <c r="N37" s="18">
        <f>'P&amp;L'!N91-'P&amp;L'!M91</f>
        <v>22924.10491165088</v>
      </c>
      <c r="O37" s="18">
        <f>SUM(C37:N37)</f>
        <v>652599.08960936533</v>
      </c>
    </row>
    <row r="38" spans="1:15" x14ac:dyDescent="0.3">
      <c r="A38" s="6" t="s">
        <v>99</v>
      </c>
      <c r="C38" s="19">
        <f t="shared" ref="C38:N38" si="6">C35+C36+C37</f>
        <v>-802560</v>
      </c>
      <c r="D38" s="19">
        <f t="shared" si="6"/>
        <v>-4012.8000000000466</v>
      </c>
      <c r="E38" s="19">
        <f t="shared" si="6"/>
        <v>-4032.8639999998268</v>
      </c>
      <c r="F38" s="19">
        <f t="shared" si="6"/>
        <v>-4053.0283199998084</v>
      </c>
      <c r="G38" s="19">
        <f t="shared" si="6"/>
        <v>-4073.2934615998238</v>
      </c>
      <c r="H38" s="19">
        <f t="shared" si="6"/>
        <v>-4093.6599289076112</v>
      </c>
      <c r="I38" s="19">
        <f t="shared" si="6"/>
        <v>-4114.1282285525813</v>
      </c>
      <c r="J38" s="19">
        <f t="shared" si="6"/>
        <v>-4134.6988696952467</v>
      </c>
      <c r="K38" s="19">
        <f t="shared" si="6"/>
        <v>-4155.3723640438693</v>
      </c>
      <c r="L38" s="19">
        <f t="shared" si="6"/>
        <v>-4176.1492258638027</v>
      </c>
      <c r="M38" s="19">
        <f t="shared" si="6"/>
        <v>-4197.0299719932664</v>
      </c>
      <c r="N38" s="19">
        <f t="shared" si="6"/>
        <v>-4218.0151218529209</v>
      </c>
      <c r="O38" s="19">
        <f>SUM(C38:N38)</f>
        <v>-847821.03949250886</v>
      </c>
    </row>
    <row r="39" spans="1:15" x14ac:dyDescent="0.3">
      <c r="A39" s="6" t="s">
        <v>100</v>
      </c>
      <c r="C39" s="19">
        <f t="shared" ref="C39:N39" si="7">C32+C33+C38</f>
        <v>-786240</v>
      </c>
      <c r="D39" s="19">
        <f t="shared" si="7"/>
        <v>13138.79999999993</v>
      </c>
      <c r="E39" s="19">
        <f t="shared" si="7"/>
        <v>13954.494000000122</v>
      </c>
      <c r="F39" s="19">
        <f t="shared" si="7"/>
        <v>14774.266470000148</v>
      </c>
      <c r="G39" s="19">
        <f t="shared" si="7"/>
        <v>15598.137802350073</v>
      </c>
      <c r="H39" s="19">
        <f t="shared" si="7"/>
        <v>16426.128491362004</v>
      </c>
      <c r="I39" s="19">
        <f t="shared" si="7"/>
        <v>17258.259133818327</v>
      </c>
      <c r="J39" s="19">
        <f t="shared" si="7"/>
        <v>18094.550429487543</v>
      </c>
      <c r="K39" s="19">
        <f t="shared" si="7"/>
        <v>18935.02318163481</v>
      </c>
      <c r="L39" s="19">
        <f t="shared" si="7"/>
        <v>19779.698297543277</v>
      </c>
      <c r="M39" s="19">
        <f t="shared" si="7"/>
        <v>20628.596789030795</v>
      </c>
      <c r="N39" s="19">
        <f t="shared" si="7"/>
        <v>21481.739772976201</v>
      </c>
      <c r="O39" s="19">
        <f>SUM(C39:N39)</f>
        <v>-596170.30563179683</v>
      </c>
    </row>
    <row r="41" spans="1:15" x14ac:dyDescent="0.3">
      <c r="A41" s="4" t="s">
        <v>101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">
      <c r="A42" s="9" t="s">
        <v>102</v>
      </c>
      <c r="C42" s="18">
        <f>-Assumptions!$D$29</f>
        <v>-10000</v>
      </c>
      <c r="D42" s="18">
        <f>-Assumptions!$D$29</f>
        <v>-10000</v>
      </c>
      <c r="E42" s="18">
        <f>-Assumptions!$D$29</f>
        <v>-10000</v>
      </c>
      <c r="F42" s="18">
        <f>-Assumptions!$D$29</f>
        <v>-10000</v>
      </c>
      <c r="G42" s="18">
        <f>-Assumptions!$D$29</f>
        <v>-10000</v>
      </c>
      <c r="H42" s="18">
        <f>-Assumptions!$D$29</f>
        <v>-10000</v>
      </c>
      <c r="I42" s="18">
        <f>-Assumptions!$D$29</f>
        <v>-10000</v>
      </c>
      <c r="J42" s="18">
        <f>-Assumptions!$D$29</f>
        <v>-10000</v>
      </c>
      <c r="K42" s="18">
        <f>-Assumptions!$D$29</f>
        <v>-10000</v>
      </c>
      <c r="L42" s="18">
        <f>-Assumptions!$D$29</f>
        <v>-10000</v>
      </c>
      <c r="M42" s="18">
        <f>-Assumptions!$D$29</f>
        <v>-10000</v>
      </c>
      <c r="N42" s="18">
        <f>-Assumptions!$D$29</f>
        <v>-10000</v>
      </c>
      <c r="O42" s="18">
        <f>SUM(C42:N42)</f>
        <v>-120000</v>
      </c>
    </row>
    <row r="43" spans="1:15" x14ac:dyDescent="0.3">
      <c r="A43" s="6" t="s">
        <v>103</v>
      </c>
      <c r="C43" s="19">
        <f t="shared" ref="C43:N43" si="8">C42</f>
        <v>-10000</v>
      </c>
      <c r="D43" s="19">
        <f t="shared" si="8"/>
        <v>-10000</v>
      </c>
      <c r="E43" s="19">
        <f t="shared" si="8"/>
        <v>-10000</v>
      </c>
      <c r="F43" s="19">
        <f t="shared" si="8"/>
        <v>-10000</v>
      </c>
      <c r="G43" s="19">
        <f t="shared" si="8"/>
        <v>-10000</v>
      </c>
      <c r="H43" s="19">
        <f t="shared" si="8"/>
        <v>-10000</v>
      </c>
      <c r="I43" s="19">
        <f t="shared" si="8"/>
        <v>-10000</v>
      </c>
      <c r="J43" s="19">
        <f t="shared" si="8"/>
        <v>-10000</v>
      </c>
      <c r="K43" s="19">
        <f t="shared" si="8"/>
        <v>-10000</v>
      </c>
      <c r="L43" s="19">
        <f t="shared" si="8"/>
        <v>-10000</v>
      </c>
      <c r="M43" s="19">
        <f t="shared" si="8"/>
        <v>-10000</v>
      </c>
      <c r="N43" s="19">
        <f t="shared" si="8"/>
        <v>-10000</v>
      </c>
      <c r="O43" s="19">
        <f>SUM(C43:N43)</f>
        <v>-120000</v>
      </c>
    </row>
    <row r="45" spans="1:15" x14ac:dyDescent="0.3">
      <c r="A45" s="4" t="s">
        <v>104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3">
      <c r="A46" s="6" t="s">
        <v>105</v>
      </c>
      <c r="C46" s="19">
        <f>0</f>
        <v>0</v>
      </c>
      <c r="D46" s="19">
        <f>0</f>
        <v>0</v>
      </c>
      <c r="E46" s="19">
        <f>0</f>
        <v>0</v>
      </c>
      <c r="F46" s="19">
        <f>0</f>
        <v>0</v>
      </c>
      <c r="G46" s="19">
        <f>0</f>
        <v>0</v>
      </c>
      <c r="H46" s="19">
        <f>0</f>
        <v>0</v>
      </c>
      <c r="I46" s="19">
        <f>0</f>
        <v>0</v>
      </c>
      <c r="J46" s="19">
        <f>0</f>
        <v>0</v>
      </c>
      <c r="K46" s="19">
        <f>0</f>
        <v>0</v>
      </c>
      <c r="L46" s="19">
        <f>0</f>
        <v>0</v>
      </c>
      <c r="M46" s="19">
        <f>0</f>
        <v>0</v>
      </c>
      <c r="N46" s="19">
        <f>0</f>
        <v>0</v>
      </c>
      <c r="O46" s="19">
        <f>SUM(C46:N46)</f>
        <v>0</v>
      </c>
    </row>
    <row r="48" spans="1:15" x14ac:dyDescent="0.3">
      <c r="A48" s="6" t="s">
        <v>106</v>
      </c>
      <c r="C48" s="19">
        <f t="shared" ref="C48:N48" si="9">C39+C43+C46</f>
        <v>-796240</v>
      </c>
      <c r="D48" s="19">
        <f t="shared" si="9"/>
        <v>3138.7999999999302</v>
      </c>
      <c r="E48" s="19">
        <f t="shared" si="9"/>
        <v>3954.4940000001225</v>
      </c>
      <c r="F48" s="19">
        <f t="shared" si="9"/>
        <v>4774.2664700001478</v>
      </c>
      <c r="G48" s="19">
        <f t="shared" si="9"/>
        <v>5598.1378023500729</v>
      </c>
      <c r="H48" s="19">
        <f t="shared" si="9"/>
        <v>6426.1284913620038</v>
      </c>
      <c r="I48" s="19">
        <f t="shared" si="9"/>
        <v>7258.2591338183265</v>
      </c>
      <c r="J48" s="19">
        <f t="shared" si="9"/>
        <v>8094.5504294875427</v>
      </c>
      <c r="K48" s="19">
        <f t="shared" si="9"/>
        <v>8935.0231816348096</v>
      </c>
      <c r="L48" s="19">
        <f t="shared" si="9"/>
        <v>9779.6982975432766</v>
      </c>
      <c r="M48" s="19">
        <f t="shared" si="9"/>
        <v>10628.596789030795</v>
      </c>
      <c r="N48" s="19">
        <f t="shared" si="9"/>
        <v>11481.739772976201</v>
      </c>
      <c r="O48" s="19">
        <f>SUM(C48:N48)</f>
        <v>-716170.30563179683</v>
      </c>
    </row>
    <row r="49" spans="1:15" x14ac:dyDescent="0.3">
      <c r="A49" s="9" t="s">
        <v>107</v>
      </c>
      <c r="C49" s="21">
        <f>Assumptions!$D$39</f>
        <v>500000</v>
      </c>
      <c r="D49" s="18">
        <f t="shared" ref="D49:N49" si="10">C50</f>
        <v>-296240</v>
      </c>
      <c r="E49" s="18">
        <f t="shared" si="10"/>
        <v>-293101.20000000007</v>
      </c>
      <c r="F49" s="18">
        <f t="shared" si="10"/>
        <v>-289146.70599999995</v>
      </c>
      <c r="G49" s="18">
        <f t="shared" si="10"/>
        <v>-284372.4395299998</v>
      </c>
      <c r="H49" s="18">
        <f t="shared" si="10"/>
        <v>-278774.30172764976</v>
      </c>
      <c r="I49" s="18">
        <f t="shared" si="10"/>
        <v>-272348.17323628778</v>
      </c>
      <c r="J49" s="18">
        <f t="shared" si="10"/>
        <v>-265089.91410246945</v>
      </c>
      <c r="K49" s="18">
        <f t="shared" si="10"/>
        <v>-256995.36367298191</v>
      </c>
      <c r="L49" s="18">
        <f t="shared" si="10"/>
        <v>-248060.3404913471</v>
      </c>
      <c r="M49" s="18">
        <f t="shared" si="10"/>
        <v>-238280.64219380383</v>
      </c>
      <c r="N49" s="18">
        <f t="shared" si="10"/>
        <v>-227652.04540477303</v>
      </c>
      <c r="O49" s="21">
        <f>Assumptions!$D$39</f>
        <v>500000</v>
      </c>
    </row>
    <row r="50" spans="1:15" x14ac:dyDescent="0.3">
      <c r="A50" s="6" t="s">
        <v>108</v>
      </c>
      <c r="C50" s="19">
        <f t="shared" ref="C50:N50" si="11">C49+C48</f>
        <v>-296240</v>
      </c>
      <c r="D50" s="19">
        <f t="shared" si="11"/>
        <v>-293101.20000000007</v>
      </c>
      <c r="E50" s="19">
        <f t="shared" si="11"/>
        <v>-289146.70599999995</v>
      </c>
      <c r="F50" s="19">
        <f t="shared" si="11"/>
        <v>-284372.4395299998</v>
      </c>
      <c r="G50" s="19">
        <f t="shared" si="11"/>
        <v>-278774.30172764976</v>
      </c>
      <c r="H50" s="19">
        <f t="shared" si="11"/>
        <v>-272348.17323628778</v>
      </c>
      <c r="I50" s="19">
        <f t="shared" si="11"/>
        <v>-265089.91410246945</v>
      </c>
      <c r="J50" s="19">
        <f t="shared" si="11"/>
        <v>-256995.36367298191</v>
      </c>
      <c r="K50" s="19">
        <f t="shared" si="11"/>
        <v>-248060.3404913471</v>
      </c>
      <c r="L50" s="19">
        <f t="shared" si="11"/>
        <v>-238280.64219380383</v>
      </c>
      <c r="M50" s="19">
        <f t="shared" si="11"/>
        <v>-227652.04540477303</v>
      </c>
      <c r="N50" s="19">
        <f t="shared" si="11"/>
        <v>-216170.30563179683</v>
      </c>
      <c r="O50" s="19">
        <f>N50</f>
        <v>-216170.30563179683</v>
      </c>
    </row>
  </sheetData>
  <mergeCells count="10">
    <mergeCell ref="A28:O28"/>
    <mergeCell ref="A31:O31"/>
    <mergeCell ref="A34:O34"/>
    <mergeCell ref="A41:O41"/>
    <mergeCell ref="A45:O45"/>
    <mergeCell ref="A1:O1"/>
    <mergeCell ref="A4:O4"/>
    <mergeCell ref="A7:O7"/>
    <mergeCell ref="A14:O14"/>
    <mergeCell ref="A18:O18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2"/>
  <sheetViews>
    <sheetView zoomScaleNormal="100" workbookViewId="0">
      <selection activeCell="C8" sqref="C8"/>
    </sheetView>
  </sheetViews>
  <sheetFormatPr defaultColWidth="8.6640625" defaultRowHeight="14.4" x14ac:dyDescent="0.3"/>
  <cols>
    <col min="1" max="1" width="32" customWidth="1"/>
    <col min="2" max="2" width="8" customWidth="1"/>
    <col min="3" max="14" width="11" customWidth="1"/>
    <col min="15" max="15" width="13" customWidth="1"/>
  </cols>
  <sheetData>
    <row r="1" spans="1:15" ht="19.5" customHeight="1" x14ac:dyDescent="0.3">
      <c r="A1" s="3" t="s">
        <v>110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3">
      <c r="A2" s="6" t="s">
        <v>44</v>
      </c>
      <c r="C2" s="15" t="s">
        <v>45</v>
      </c>
      <c r="D2" s="15" t="s">
        <v>46</v>
      </c>
      <c r="E2" s="15" t="s">
        <v>47</v>
      </c>
      <c r="F2" s="15" t="s">
        <v>48</v>
      </c>
      <c r="G2" s="15" t="s">
        <v>49</v>
      </c>
      <c r="H2" s="15" t="s">
        <v>50</v>
      </c>
      <c r="I2" s="15" t="s">
        <v>51</v>
      </c>
      <c r="J2" s="15" t="s">
        <v>52</v>
      </c>
      <c r="K2" s="15" t="s">
        <v>53</v>
      </c>
      <c r="L2" s="15" t="s">
        <v>54</v>
      </c>
      <c r="M2" s="15" t="s">
        <v>55</v>
      </c>
      <c r="N2" s="15" t="s">
        <v>56</v>
      </c>
    </row>
    <row r="4" spans="1:15" x14ac:dyDescent="0.3">
      <c r="A4" s="4" t="s">
        <v>111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">
      <c r="A5" s="9" t="s">
        <v>112</v>
      </c>
      <c r="C5" s="21">
        <f>Cash_Flow!C23</f>
        <v>-86951.666666666744</v>
      </c>
      <c r="D5" s="21">
        <f>Cash_Flow!D23</f>
        <v>58532.003409090976</v>
      </c>
      <c r="E5" s="21">
        <f>Cash_Flow!E23</f>
        <v>210614.00622670449</v>
      </c>
      <c r="F5" s="21">
        <f>Cash_Flow!F23</f>
        <v>369438.8603042622</v>
      </c>
      <c r="G5" s="21">
        <f>Cash_Flow!G23</f>
        <v>535154.2812434911</v>
      </c>
      <c r="H5" s="21">
        <f>Cash_Flow!H23</f>
        <v>707911.25295173505</v>
      </c>
      <c r="I5" s="21">
        <f>Cash_Flow!I23</f>
        <v>887864.10045809695</v>
      </c>
      <c r="J5" s="21">
        <f>Cash_Flow!J23</f>
        <v>1075170.5643595443</v>
      </c>
      <c r="K5" s="21">
        <f>Cash_Flow!K23</f>
        <v>1269991.8769335714</v>
      </c>
      <c r="L5" s="21">
        <f>Cash_Flow!L23</f>
        <v>1472492.8399548482</v>
      </c>
      <c r="M5" s="21">
        <f>Cash_Flow!M23</f>
        <v>1682841.904254117</v>
      </c>
      <c r="N5" s="21">
        <f>Cash_Flow!N23</f>
        <v>1901211.2510584632</v>
      </c>
    </row>
    <row r="6" spans="1:15" x14ac:dyDescent="0.3">
      <c r="A6" s="9" t="s">
        <v>113</v>
      </c>
      <c r="C6" s="21">
        <f>'P&amp;L'!C39</f>
        <v>1088160</v>
      </c>
      <c r="D6" s="21">
        <f>'P&amp;L'!D39</f>
        <v>1127876.7818181817</v>
      </c>
      <c r="E6" s="21">
        <f>'P&amp;L'!E39</f>
        <v>1168790.0034109091</v>
      </c>
      <c r="F6" s="21">
        <f>'P&amp;L'!F39</f>
        <v>1210932.8630006351</v>
      </c>
      <c r="G6" s="21">
        <f>'P&amp;L'!G39</f>
        <v>1254339.4394319251</v>
      </c>
      <c r="H6" s="21">
        <f>'P&amp;L'!H39</f>
        <v>1299044.714873452</v>
      </c>
      <c r="I6" s="21">
        <f>'P&amp;L'!I39</f>
        <v>1345084.5980936375</v>
      </c>
      <c r="J6" s="21">
        <f>'P&amp;L'!J39</f>
        <v>1392495.9483242168</v>
      </c>
      <c r="K6" s="21">
        <f>'P&amp;L'!K39</f>
        <v>1441316.5997263584</v>
      </c>
      <c r="L6" s="21">
        <f>'P&amp;L'!L39</f>
        <v>1491585.3864743274</v>
      </c>
      <c r="M6" s="21">
        <f>'P&amp;L'!M39</f>
        <v>1543342.1684720479</v>
      </c>
      <c r="N6" s="21">
        <f>'P&amp;L'!N39</f>
        <v>1596627.8577183071</v>
      </c>
    </row>
    <row r="7" spans="1:15" x14ac:dyDescent="0.3">
      <c r="A7" s="9" t="s">
        <v>114</v>
      </c>
      <c r="C7" s="21">
        <f>'P&amp;L'!C41</f>
        <v>188916.66666666669</v>
      </c>
      <c r="D7" s="21">
        <f>'P&amp;L'!D41</f>
        <v>192889.375</v>
      </c>
      <c r="E7" s="21">
        <f>'P&amp;L'!E41</f>
        <v>196946.84493749999</v>
      </c>
      <c r="F7" s="21">
        <f>'P&amp;L'!F41</f>
        <v>201090.90418186877</v>
      </c>
      <c r="G7" s="21">
        <f>'P&amp;L'!G41</f>
        <v>205323.42014510682</v>
      </c>
      <c r="H7" s="21">
        <f>'P&amp;L'!H41</f>
        <v>209646.30081584468</v>
      </c>
      <c r="I7" s="21">
        <f>'P&amp;L'!I41</f>
        <v>214061.49564568882</v>
      </c>
      <c r="J7" s="21">
        <f>'P&amp;L'!J41</f>
        <v>218570.99645499978</v>
      </c>
      <c r="K7" s="21">
        <f>'P&amp;L'!K41</f>
        <v>223176.83835852961</v>
      </c>
      <c r="L7" s="21">
        <f>'P&amp;L'!L41</f>
        <v>227881.10071135554</v>
      </c>
      <c r="M7" s="21">
        <f>'P&amp;L'!M41</f>
        <v>232685.90807555546</v>
      </c>
      <c r="N7" s="21">
        <f>'P&amp;L'!N41</f>
        <v>237593.43120808143</v>
      </c>
    </row>
    <row r="8" spans="1:15" x14ac:dyDescent="0.3">
      <c r="A8" s="24" t="s">
        <v>131</v>
      </c>
      <c r="C8" s="25">
        <f>Assumptions!$C$41+Assumptions!$C$29-Assumptions!$C$28</f>
        <v>305000</v>
      </c>
      <c r="D8" s="25">
        <f>C8+Assumptions!$C$29-Assumptions!$C$28</f>
        <v>310000</v>
      </c>
      <c r="E8" s="25">
        <f>D8+Assumptions!$C$29-Assumptions!$C$28</f>
        <v>315000</v>
      </c>
      <c r="F8" s="25">
        <f>E8+Assumptions!$C$29-Assumptions!$C$28</f>
        <v>320000</v>
      </c>
      <c r="G8" s="25">
        <f>F8+Assumptions!$C$29-Assumptions!$C$28</f>
        <v>325000</v>
      </c>
      <c r="H8" s="25">
        <f>G8+Assumptions!$C$29-Assumptions!$C$28</f>
        <v>330000</v>
      </c>
      <c r="I8" s="25">
        <f>H8+Assumptions!$C$29-Assumptions!$C$28</f>
        <v>335000</v>
      </c>
      <c r="J8" s="25">
        <f>I8+Assumptions!$C$29-Assumptions!$C$28</f>
        <v>340000</v>
      </c>
      <c r="K8" s="25">
        <f>J8+Assumptions!$C$29-Assumptions!$C$28</f>
        <v>345000</v>
      </c>
      <c r="L8" s="25">
        <f>K8+Assumptions!$C$29-Assumptions!$C$28</f>
        <v>350000</v>
      </c>
      <c r="M8" s="25">
        <f>L8+Assumptions!$C$29-Assumptions!$C$28</f>
        <v>355000</v>
      </c>
      <c r="N8" s="25">
        <f>M8+Assumptions!$C$29-Assumptions!$C$28</f>
        <v>360000</v>
      </c>
    </row>
    <row r="9" spans="1:15" x14ac:dyDescent="0.3">
      <c r="A9" s="6" t="s">
        <v>115</v>
      </c>
      <c r="C9" s="19">
        <f>C5+C6+C7+C8</f>
        <v>1495125</v>
      </c>
      <c r="D9" s="19">
        <f t="shared" ref="D9:N9" si="0">D5+D6+D7+D8</f>
        <v>1689298.1602272727</v>
      </c>
      <c r="E9" s="19">
        <f t="shared" si="0"/>
        <v>1891350.8545751136</v>
      </c>
      <c r="F9" s="19">
        <f t="shared" si="0"/>
        <v>2101462.6274867663</v>
      </c>
      <c r="G9" s="19">
        <f t="shared" si="0"/>
        <v>2319817.1408205228</v>
      </c>
      <c r="H9" s="19">
        <f t="shared" si="0"/>
        <v>2546602.2686410313</v>
      </c>
      <c r="I9" s="19">
        <f t="shared" si="0"/>
        <v>2782010.1941974233</v>
      </c>
      <c r="J9" s="19">
        <f t="shared" si="0"/>
        <v>3026237.5091387611</v>
      </c>
      <c r="K9" s="19">
        <f t="shared" si="0"/>
        <v>3279485.3150184592</v>
      </c>
      <c r="L9" s="19">
        <f t="shared" si="0"/>
        <v>3541959.327140531</v>
      </c>
      <c r="M9" s="19">
        <f t="shared" si="0"/>
        <v>3813869.9808017202</v>
      </c>
      <c r="N9" s="19">
        <f t="shared" si="0"/>
        <v>4095432.5399848521</v>
      </c>
    </row>
    <row r="11" spans="1:15" x14ac:dyDescent="0.3">
      <c r="A11" s="4" t="s">
        <v>116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3">
      <c r="A12" s="9" t="s">
        <v>117</v>
      </c>
      <c r="C12" s="21">
        <f>'P&amp;L'!C43</f>
        <v>544080</v>
      </c>
      <c r="D12" s="21">
        <f>'P&amp;L'!D43</f>
        <v>580772.3727272728</v>
      </c>
      <c r="E12" s="21">
        <f>'P&amp;L'!E43</f>
        <v>618771.17827636364</v>
      </c>
      <c r="F12" s="21">
        <f>'P&amp;L'!F43</f>
        <v>658115.6864133887</v>
      </c>
      <c r="G12" s="21">
        <f>'P&amp;L'!G43</f>
        <v>698846.25911207253</v>
      </c>
      <c r="H12" s="21">
        <f>'P&amp;L'!H43</f>
        <v>741004.37961091276</v>
      </c>
      <c r="I12" s="21">
        <f>'P&amp;L'!I43</f>
        <v>784632.68222128844</v>
      </c>
      <c r="J12" s="21">
        <f>'P&amp;L'!J43</f>
        <v>829774.98290552641</v>
      </c>
      <c r="K12" s="21">
        <f>'P&amp;L'!K43</f>
        <v>876476.31064440717</v>
      </c>
      <c r="L12" s="21">
        <f>'P&amp;L'!L43</f>
        <v>924782.93961408292</v>
      </c>
      <c r="M12" s="21">
        <f>'P&amp;L'!M43</f>
        <v>974742.42219287239</v>
      </c>
      <c r="N12" s="21">
        <f>'P&amp;L'!N43</f>
        <v>1026403.6228189117</v>
      </c>
    </row>
    <row r="13" spans="1:15" x14ac:dyDescent="0.3">
      <c r="A13" s="6" t="s">
        <v>118</v>
      </c>
      <c r="C13" s="19">
        <f t="shared" ref="C13:N13" si="1">C12</f>
        <v>544080</v>
      </c>
      <c r="D13" s="19">
        <f t="shared" si="1"/>
        <v>580772.3727272728</v>
      </c>
      <c r="E13" s="19">
        <f t="shared" si="1"/>
        <v>618771.17827636364</v>
      </c>
      <c r="F13" s="19">
        <f t="shared" si="1"/>
        <v>658115.6864133887</v>
      </c>
      <c r="G13" s="19">
        <f t="shared" si="1"/>
        <v>698846.25911207253</v>
      </c>
      <c r="H13" s="19">
        <f t="shared" si="1"/>
        <v>741004.37961091276</v>
      </c>
      <c r="I13" s="19">
        <f t="shared" si="1"/>
        <v>784632.68222128844</v>
      </c>
      <c r="J13" s="19">
        <f t="shared" si="1"/>
        <v>829774.98290552641</v>
      </c>
      <c r="K13" s="19">
        <f t="shared" si="1"/>
        <v>876476.31064440717</v>
      </c>
      <c r="L13" s="19">
        <f t="shared" si="1"/>
        <v>924782.93961408292</v>
      </c>
      <c r="M13" s="19">
        <f t="shared" si="1"/>
        <v>974742.42219287239</v>
      </c>
      <c r="N13" s="19">
        <f t="shared" si="1"/>
        <v>1026403.6228189117</v>
      </c>
    </row>
    <row r="15" spans="1:15" x14ac:dyDescent="0.3">
      <c r="A15" s="4" t="s">
        <v>119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">
      <c r="A16" s="9" t="s">
        <v>120</v>
      </c>
      <c r="C16" s="18">
        <f>Assumptions!$C$40+'P&amp;L'!C35</f>
        <v>951045</v>
      </c>
      <c r="D16" s="18">
        <f>C16+'P&amp;L'!D35</f>
        <v>1108525.7875000001</v>
      </c>
      <c r="E16" s="18">
        <f>D16+'P&amp;L'!E35</f>
        <v>1272579.6762987501</v>
      </c>
      <c r="F16" s="18">
        <f>E16+'P&amp;L'!F35</f>
        <v>1443346.9410733776</v>
      </c>
      <c r="G16" s="18">
        <f>F16+'P&amp;L'!G35</f>
        <v>1620970.8817084506</v>
      </c>
      <c r="H16" s="18">
        <f>G16+'P&amp;L'!H35</f>
        <v>1805597.8890301189</v>
      </c>
      <c r="I16" s="18">
        <f>H16+'P&amp;L'!I35</f>
        <v>1997377.5119761347</v>
      </c>
      <c r="J16" s="18">
        <f>I16+'P&amp;L'!J35</f>
        <v>2196462.5262332344</v>
      </c>
      <c r="K16" s="18">
        <f>J16+'P&amp;L'!K35</f>
        <v>2403009.0043740524</v>
      </c>
      <c r="L16" s="18">
        <f>K16+'P&amp;L'!L35</f>
        <v>2617176.3875264484</v>
      </c>
      <c r="M16" s="18">
        <f>L16+'P&amp;L'!M35</f>
        <v>2839127.5586088481</v>
      </c>
      <c r="N16" s="18">
        <f>M16+'P&amp;L'!N35</f>
        <v>3069028.9171659402</v>
      </c>
    </row>
    <row r="17" spans="1:15" x14ac:dyDescent="0.3">
      <c r="A17" s="6" t="s">
        <v>121</v>
      </c>
      <c r="C17" s="19">
        <f t="shared" ref="C17:N17" si="2">C16</f>
        <v>951045</v>
      </c>
      <c r="D17" s="19">
        <f t="shared" si="2"/>
        <v>1108525.7875000001</v>
      </c>
      <c r="E17" s="19">
        <f t="shared" si="2"/>
        <v>1272579.6762987501</v>
      </c>
      <c r="F17" s="19">
        <f t="shared" si="2"/>
        <v>1443346.9410733776</v>
      </c>
      <c r="G17" s="19">
        <f t="shared" si="2"/>
        <v>1620970.8817084506</v>
      </c>
      <c r="H17" s="19">
        <f t="shared" si="2"/>
        <v>1805597.8890301189</v>
      </c>
      <c r="I17" s="19">
        <f t="shared" si="2"/>
        <v>1997377.5119761347</v>
      </c>
      <c r="J17" s="19">
        <f t="shared" si="2"/>
        <v>2196462.5262332344</v>
      </c>
      <c r="K17" s="19">
        <f t="shared" si="2"/>
        <v>2403009.0043740524</v>
      </c>
      <c r="L17" s="19">
        <f t="shared" si="2"/>
        <v>2617176.3875264484</v>
      </c>
      <c r="M17" s="19">
        <f t="shared" si="2"/>
        <v>2839127.5586088481</v>
      </c>
      <c r="N17" s="19">
        <f t="shared" si="2"/>
        <v>3069028.9171659402</v>
      </c>
    </row>
    <row r="18" spans="1:15" x14ac:dyDescent="0.3">
      <c r="A18" s="6" t="s">
        <v>122</v>
      </c>
      <c r="C18" s="19">
        <f t="shared" ref="C18:N18" si="3">C13+C17</f>
        <v>1495125</v>
      </c>
      <c r="D18" s="19">
        <f t="shared" si="3"/>
        <v>1689298.1602272729</v>
      </c>
      <c r="E18" s="19">
        <f t="shared" si="3"/>
        <v>1891350.8545751139</v>
      </c>
      <c r="F18" s="19">
        <f t="shared" si="3"/>
        <v>2101462.6274867663</v>
      </c>
      <c r="G18" s="19">
        <f t="shared" si="3"/>
        <v>2319817.1408205233</v>
      </c>
      <c r="H18" s="19">
        <f t="shared" si="3"/>
        <v>2546602.2686410318</v>
      </c>
      <c r="I18" s="19">
        <f t="shared" si="3"/>
        <v>2782010.1941974233</v>
      </c>
      <c r="J18" s="19">
        <f t="shared" si="3"/>
        <v>3026237.5091387611</v>
      </c>
      <c r="K18" s="19">
        <f t="shared" si="3"/>
        <v>3279485.3150184597</v>
      </c>
      <c r="L18" s="19">
        <f t="shared" si="3"/>
        <v>3541959.3271405315</v>
      </c>
      <c r="M18" s="19">
        <f t="shared" si="3"/>
        <v>3813869.9808017206</v>
      </c>
      <c r="N18" s="19">
        <f t="shared" si="3"/>
        <v>4095432.5399848521</v>
      </c>
    </row>
    <row r="19" spans="1:15" x14ac:dyDescent="0.3">
      <c r="A19" s="22" t="s">
        <v>123</v>
      </c>
      <c r="C19" s="23">
        <f t="shared" ref="C19:N19" si="4">C9-C18</f>
        <v>0</v>
      </c>
      <c r="D19" s="23">
        <f t="shared" si="4"/>
        <v>0</v>
      </c>
      <c r="E19" s="23">
        <f t="shared" si="4"/>
        <v>0</v>
      </c>
      <c r="F19" s="23">
        <f t="shared" si="4"/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 t="shared" si="4"/>
        <v>0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 t="shared" si="4"/>
        <v>0</v>
      </c>
    </row>
    <row r="24" spans="1:15" ht="19.5" customHeight="1" x14ac:dyDescent="0.3">
      <c r="A24" s="2" t="s">
        <v>124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6" t="s">
        <v>44</v>
      </c>
      <c r="C25" s="15" t="s">
        <v>45</v>
      </c>
      <c r="D25" s="15" t="s">
        <v>46</v>
      </c>
      <c r="E25" s="15" t="s">
        <v>47</v>
      </c>
      <c r="F25" s="15" t="s">
        <v>48</v>
      </c>
      <c r="G25" s="15" t="s">
        <v>49</v>
      </c>
      <c r="H25" s="15" t="s">
        <v>50</v>
      </c>
      <c r="I25" s="15" t="s">
        <v>51</v>
      </c>
      <c r="J25" s="15" t="s">
        <v>52</v>
      </c>
      <c r="K25" s="15" t="s">
        <v>53</v>
      </c>
      <c r="L25" s="15" t="s">
        <v>54</v>
      </c>
      <c r="M25" s="15" t="s">
        <v>55</v>
      </c>
      <c r="N25" s="15" t="s">
        <v>56</v>
      </c>
    </row>
    <row r="27" spans="1:15" x14ac:dyDescent="0.3">
      <c r="A27" s="4" t="s">
        <v>111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">
      <c r="A28" s="9" t="s">
        <v>112</v>
      </c>
      <c r="C28" s="21">
        <f>Cash_Flow!C50</f>
        <v>-296240</v>
      </c>
      <c r="D28" s="21">
        <f>Cash_Flow!D50</f>
        <v>-293101.20000000007</v>
      </c>
      <c r="E28" s="21">
        <f>Cash_Flow!E50</f>
        <v>-289146.70599999995</v>
      </c>
      <c r="F28" s="21">
        <f>Cash_Flow!F50</f>
        <v>-284372.4395299998</v>
      </c>
      <c r="G28" s="21">
        <f>Cash_Flow!G50</f>
        <v>-278774.30172764976</v>
      </c>
      <c r="H28" s="21">
        <f>Cash_Flow!H50</f>
        <v>-272348.17323628778</v>
      </c>
      <c r="I28" s="21">
        <f>Cash_Flow!I50</f>
        <v>-265089.91410246945</v>
      </c>
      <c r="J28" s="21">
        <f>Cash_Flow!J50</f>
        <v>-256995.36367298191</v>
      </c>
      <c r="K28" s="21">
        <f>Cash_Flow!K50</f>
        <v>-248060.3404913471</v>
      </c>
      <c r="L28" s="21">
        <f>Cash_Flow!L50</f>
        <v>-238280.64219380383</v>
      </c>
      <c r="M28" s="21">
        <f>Cash_Flow!M50</f>
        <v>-227652.04540477303</v>
      </c>
      <c r="N28" s="21">
        <f>Cash_Flow!N50</f>
        <v>-216170.30563179683</v>
      </c>
    </row>
    <row r="29" spans="1:15" x14ac:dyDescent="0.3">
      <c r="A29" s="9" t="s">
        <v>113</v>
      </c>
      <c r="C29" s="21">
        <f>'P&amp;L'!C87</f>
        <v>1029600</v>
      </c>
      <c r="D29" s="21">
        <f>'P&amp;L'!D87</f>
        <v>1053561.6000000001</v>
      </c>
      <c r="E29" s="21">
        <f>'P&amp;L'!E87</f>
        <v>1077737.0759999999</v>
      </c>
      <c r="F29" s="21">
        <f>'P&amp;L'!F87</f>
        <v>1102127.9677199996</v>
      </c>
      <c r="G29" s="21">
        <f>'P&amp;L'!G87</f>
        <v>1126735.8249302993</v>
      </c>
      <c r="H29" s="21">
        <f>'P&amp;L'!H87</f>
        <v>1151562.2075135089</v>
      </c>
      <c r="I29" s="21">
        <f>'P&amp;L'!I87</f>
        <v>1176608.6855269277</v>
      </c>
      <c r="J29" s="21">
        <f>'P&amp;L'!J87</f>
        <v>1201876.8392652927</v>
      </c>
      <c r="K29" s="21">
        <f>'P&amp;L'!K87</f>
        <v>1227368.2593239034</v>
      </c>
      <c r="L29" s="21">
        <f>'P&amp;L'!L87</f>
        <v>1253084.5466621183</v>
      </c>
      <c r="M29" s="21">
        <f>'P&amp;L'!M87</f>
        <v>1279027.3126672325</v>
      </c>
      <c r="N29" s="21">
        <f>'P&amp;L'!N87</f>
        <v>1305198.1792187307</v>
      </c>
    </row>
    <row r="30" spans="1:15" x14ac:dyDescent="0.3">
      <c r="A30" s="9" t="s">
        <v>114</v>
      </c>
      <c r="C30" s="21">
        <f>'P&amp;L'!C89</f>
        <v>184800</v>
      </c>
      <c r="D30" s="21">
        <f>'P&amp;L'!D89</f>
        <v>185724</v>
      </c>
      <c r="E30" s="21">
        <f>'P&amp;L'!E89</f>
        <v>186652.61999999994</v>
      </c>
      <c r="F30" s="21">
        <f>'P&amp;L'!F89</f>
        <v>187585.88309999992</v>
      </c>
      <c r="G30" s="21">
        <f>'P&amp;L'!G89</f>
        <v>188523.81251549986</v>
      </c>
      <c r="H30" s="21">
        <f>'P&amp;L'!H89</f>
        <v>189466.43157807738</v>
      </c>
      <c r="I30" s="21">
        <f>'P&amp;L'!I89</f>
        <v>190413.76373596769</v>
      </c>
      <c r="J30" s="21">
        <f>'P&amp;L'!J89</f>
        <v>191365.83255464752</v>
      </c>
      <c r="K30" s="21">
        <f>'P&amp;L'!K89</f>
        <v>192322.66171742076</v>
      </c>
      <c r="L30" s="21">
        <f>'P&amp;L'!L89</f>
        <v>193284.27502600782</v>
      </c>
      <c r="M30" s="21">
        <f>'P&amp;L'!M89</f>
        <v>194250.69640113786</v>
      </c>
      <c r="N30" s="21">
        <f>'P&amp;L'!N89</f>
        <v>195221.94988314348</v>
      </c>
    </row>
    <row r="31" spans="1:15" x14ac:dyDescent="0.3">
      <c r="A31" s="24" t="s">
        <v>131</v>
      </c>
      <c r="C31" s="25">
        <f>Assumptions!$D$41+Assumptions!$D$29-Assumptions!$D$28</f>
        <v>305000</v>
      </c>
      <c r="D31" s="25">
        <f>C31+Assumptions!$D$29-Assumptions!$D$28</f>
        <v>310000</v>
      </c>
      <c r="E31" s="25">
        <f>D31+Assumptions!$D$29-Assumptions!$D$28</f>
        <v>315000</v>
      </c>
      <c r="F31" s="25">
        <f>E31+Assumptions!$D$29-Assumptions!$D$28</f>
        <v>320000</v>
      </c>
      <c r="G31" s="25">
        <f>F31+Assumptions!$D$29-Assumptions!$D$28</f>
        <v>325000</v>
      </c>
      <c r="H31" s="25">
        <f>G31+Assumptions!$D$29-Assumptions!$D$28</f>
        <v>330000</v>
      </c>
      <c r="I31" s="25">
        <f>H31+Assumptions!$D$29-Assumptions!$D$28</f>
        <v>335000</v>
      </c>
      <c r="J31" s="25">
        <f>I31+Assumptions!$D$29-Assumptions!$D$28</f>
        <v>340000</v>
      </c>
      <c r="K31" s="25">
        <f>J31+Assumptions!$D$29-Assumptions!$D$28</f>
        <v>345000</v>
      </c>
      <c r="L31" s="25">
        <f>K31+Assumptions!$D$29-Assumptions!$D$28</f>
        <v>350000</v>
      </c>
      <c r="M31" s="25">
        <f>L31+Assumptions!$D$29-Assumptions!$D$28</f>
        <v>355000</v>
      </c>
      <c r="N31" s="25">
        <f>M31+Assumptions!$D$29-Assumptions!$D$28</f>
        <v>360000</v>
      </c>
    </row>
    <row r="32" spans="1:15" x14ac:dyDescent="0.3">
      <c r="A32" s="6" t="s">
        <v>115</v>
      </c>
      <c r="C32" s="19">
        <f>C28+C29+C30+C31</f>
        <v>1223160</v>
      </c>
      <c r="D32" s="19">
        <f t="shared" ref="D32:N32" si="5">D28+D29+D30+D31</f>
        <v>1256184.3999999999</v>
      </c>
      <c r="E32" s="19">
        <f t="shared" si="5"/>
        <v>1290242.9899999998</v>
      </c>
      <c r="F32" s="19">
        <f t="shared" si="5"/>
        <v>1325341.4112899997</v>
      </c>
      <c r="G32" s="19">
        <f t="shared" si="5"/>
        <v>1361485.3357181493</v>
      </c>
      <c r="H32" s="19">
        <f t="shared" si="5"/>
        <v>1398680.4658552986</v>
      </c>
      <c r="I32" s="19">
        <f t="shared" si="5"/>
        <v>1436932.5351604261</v>
      </c>
      <c r="J32" s="19">
        <f t="shared" si="5"/>
        <v>1476247.3081469582</v>
      </c>
      <c r="K32" s="19">
        <f t="shared" si="5"/>
        <v>1516630.580549977</v>
      </c>
      <c r="L32" s="19">
        <f t="shared" si="5"/>
        <v>1558088.1794943223</v>
      </c>
      <c r="M32" s="19">
        <f t="shared" si="5"/>
        <v>1600625.9636635974</v>
      </c>
      <c r="N32" s="19">
        <f t="shared" si="5"/>
        <v>1644249.8234700772</v>
      </c>
    </row>
    <row r="34" spans="1:15" x14ac:dyDescent="0.3">
      <c r="A34" s="4" t="s">
        <v>116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3">
      <c r="A35" s="9" t="s">
        <v>117</v>
      </c>
      <c r="C35" s="21">
        <f>'P&amp;L'!C91</f>
        <v>411840</v>
      </c>
      <c r="D35" s="21">
        <f>'P&amp;L'!D91</f>
        <v>432712.80000000005</v>
      </c>
      <c r="E35" s="21">
        <f>'P&amp;L'!E91</f>
        <v>453784.03199999995</v>
      </c>
      <c r="F35" s="21">
        <f>'P&amp;L'!F91</f>
        <v>475055.15849999984</v>
      </c>
      <c r="G35" s="21">
        <f>'P&amp;L'!G91</f>
        <v>496527.65166419966</v>
      </c>
      <c r="H35" s="21">
        <f>'P&amp;L'!H91</f>
        <v>518202.99338107911</v>
      </c>
      <c r="I35" s="21">
        <f>'P&amp;L'!I91</f>
        <v>540082.67532383569</v>
      </c>
      <c r="J35" s="21">
        <f>'P&amp;L'!J91</f>
        <v>562168.19901118532</v>
      </c>
      <c r="K35" s="21">
        <f>'P&amp;L'!K91</f>
        <v>584461.07586852531</v>
      </c>
      <c r="L35" s="21">
        <f>'P&amp;L'!L91</f>
        <v>606962.82728946349</v>
      </c>
      <c r="M35" s="21">
        <f>'P&amp;L'!M91</f>
        <v>629674.98469771445</v>
      </c>
      <c r="N35" s="21">
        <f>'P&amp;L'!N91</f>
        <v>652599.08960936533</v>
      </c>
    </row>
    <row r="36" spans="1:15" x14ac:dyDescent="0.3">
      <c r="A36" s="6" t="s">
        <v>118</v>
      </c>
      <c r="C36" s="19">
        <f t="shared" ref="C36:N36" si="6">C35</f>
        <v>411840</v>
      </c>
      <c r="D36" s="19">
        <f t="shared" si="6"/>
        <v>432712.80000000005</v>
      </c>
      <c r="E36" s="19">
        <f t="shared" si="6"/>
        <v>453784.03199999995</v>
      </c>
      <c r="F36" s="19">
        <f t="shared" si="6"/>
        <v>475055.15849999984</v>
      </c>
      <c r="G36" s="19">
        <f t="shared" si="6"/>
        <v>496527.65166419966</v>
      </c>
      <c r="H36" s="19">
        <f t="shared" si="6"/>
        <v>518202.99338107911</v>
      </c>
      <c r="I36" s="19">
        <f t="shared" si="6"/>
        <v>540082.67532383569</v>
      </c>
      <c r="J36" s="19">
        <f t="shared" si="6"/>
        <v>562168.19901118532</v>
      </c>
      <c r="K36" s="19">
        <f t="shared" si="6"/>
        <v>584461.07586852531</v>
      </c>
      <c r="L36" s="19">
        <f t="shared" si="6"/>
        <v>606962.82728946349</v>
      </c>
      <c r="M36" s="19">
        <f t="shared" si="6"/>
        <v>629674.98469771445</v>
      </c>
      <c r="N36" s="19">
        <f t="shared" si="6"/>
        <v>652599.08960936533</v>
      </c>
    </row>
    <row r="38" spans="1:15" x14ac:dyDescent="0.3">
      <c r="A38" s="4" t="s">
        <v>119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3">
      <c r="A39" s="9" t="s">
        <v>120</v>
      </c>
      <c r="C39" s="18">
        <f>Assumptions!$D$40+'P&amp;L'!C83</f>
        <v>811320</v>
      </c>
      <c r="D39" s="18">
        <f>C39+'P&amp;L'!D83</f>
        <v>823471.6</v>
      </c>
      <c r="E39" s="18">
        <f>D39+'P&amp;L'!E83</f>
        <v>836458.95799999987</v>
      </c>
      <c r="F39" s="18">
        <f>E39+'P&amp;L'!F83</f>
        <v>850286.25278999982</v>
      </c>
      <c r="G39" s="18">
        <f>F39+'P&amp;L'!G83</f>
        <v>864957.68405394978</v>
      </c>
      <c r="H39" s="18">
        <f>G39+'P&amp;L'!H83</f>
        <v>880477.47247421939</v>
      </c>
      <c r="I39" s="18">
        <f>H39+'P&amp;L'!I83</f>
        <v>896849.85983659024</v>
      </c>
      <c r="J39" s="18">
        <f>I39+'P&amp;L'!J83</f>
        <v>914079.10913577303</v>
      </c>
      <c r="K39" s="18">
        <f>J39+'P&amp;L'!K83</f>
        <v>932169.50468145171</v>
      </c>
      <c r="L39" s="18">
        <f>K39+'P&amp;L'!L83</f>
        <v>951125.35220485879</v>
      </c>
      <c r="M39" s="18">
        <f>L39+'P&amp;L'!M83</f>
        <v>970950.97896588291</v>
      </c>
      <c r="N39" s="18">
        <f>M39+'P&amp;L'!N83</f>
        <v>991650.73386071203</v>
      </c>
    </row>
    <row r="40" spans="1:15" x14ac:dyDescent="0.3">
      <c r="A40" s="6" t="s">
        <v>121</v>
      </c>
      <c r="C40" s="19">
        <f t="shared" ref="C40:N40" si="7">C39</f>
        <v>811320</v>
      </c>
      <c r="D40" s="19">
        <f t="shared" si="7"/>
        <v>823471.6</v>
      </c>
      <c r="E40" s="19">
        <f t="shared" si="7"/>
        <v>836458.95799999987</v>
      </c>
      <c r="F40" s="19">
        <f t="shared" si="7"/>
        <v>850286.25278999982</v>
      </c>
      <c r="G40" s="19">
        <f t="shared" si="7"/>
        <v>864957.68405394978</v>
      </c>
      <c r="H40" s="19">
        <f t="shared" si="7"/>
        <v>880477.47247421939</v>
      </c>
      <c r="I40" s="19">
        <f t="shared" si="7"/>
        <v>896849.85983659024</v>
      </c>
      <c r="J40" s="19">
        <f t="shared" si="7"/>
        <v>914079.10913577303</v>
      </c>
      <c r="K40" s="19">
        <f t="shared" si="7"/>
        <v>932169.50468145171</v>
      </c>
      <c r="L40" s="19">
        <f t="shared" si="7"/>
        <v>951125.35220485879</v>
      </c>
      <c r="M40" s="19">
        <f t="shared" si="7"/>
        <v>970950.97896588291</v>
      </c>
      <c r="N40" s="19">
        <f t="shared" si="7"/>
        <v>991650.73386071203</v>
      </c>
    </row>
    <row r="41" spans="1:15" x14ac:dyDescent="0.3">
      <c r="A41" s="6" t="s">
        <v>122</v>
      </c>
      <c r="C41" s="19">
        <f t="shared" ref="C41:N41" si="8">C36+C40</f>
        <v>1223160</v>
      </c>
      <c r="D41" s="19">
        <f t="shared" si="8"/>
        <v>1256184.3999999999</v>
      </c>
      <c r="E41" s="19">
        <f t="shared" si="8"/>
        <v>1290242.9899999998</v>
      </c>
      <c r="F41" s="19">
        <f t="shared" si="8"/>
        <v>1325341.4112899997</v>
      </c>
      <c r="G41" s="19">
        <f t="shared" si="8"/>
        <v>1361485.3357181493</v>
      </c>
      <c r="H41" s="19">
        <f t="shared" si="8"/>
        <v>1398680.4658552986</v>
      </c>
      <c r="I41" s="19">
        <f t="shared" si="8"/>
        <v>1436932.5351604261</v>
      </c>
      <c r="J41" s="19">
        <f t="shared" si="8"/>
        <v>1476247.3081469582</v>
      </c>
      <c r="K41" s="19">
        <f t="shared" si="8"/>
        <v>1516630.580549977</v>
      </c>
      <c r="L41" s="19">
        <f t="shared" si="8"/>
        <v>1558088.1794943223</v>
      </c>
      <c r="M41" s="19">
        <f t="shared" si="8"/>
        <v>1600625.9636635974</v>
      </c>
      <c r="N41" s="19">
        <f t="shared" si="8"/>
        <v>1644249.8234700775</v>
      </c>
    </row>
    <row r="42" spans="1:15" x14ac:dyDescent="0.3">
      <c r="A42" s="22" t="s">
        <v>123</v>
      </c>
      <c r="C42" s="23">
        <f t="shared" ref="C42:N42" si="9">C32-C41</f>
        <v>0</v>
      </c>
      <c r="D42" s="23">
        <f t="shared" si="9"/>
        <v>0</v>
      </c>
      <c r="E42" s="23">
        <f t="shared" si="9"/>
        <v>0</v>
      </c>
      <c r="F42" s="23">
        <f t="shared" si="9"/>
        <v>0</v>
      </c>
      <c r="G42" s="23">
        <f t="shared" si="9"/>
        <v>0</v>
      </c>
      <c r="H42" s="23">
        <f t="shared" si="9"/>
        <v>0</v>
      </c>
      <c r="I42" s="23">
        <f t="shared" si="9"/>
        <v>0</v>
      </c>
      <c r="J42" s="23">
        <f t="shared" si="9"/>
        <v>0</v>
      </c>
      <c r="K42" s="23">
        <f t="shared" si="9"/>
        <v>0</v>
      </c>
      <c r="L42" s="23">
        <f t="shared" si="9"/>
        <v>0</v>
      </c>
      <c r="M42" s="23">
        <f t="shared" si="9"/>
        <v>0</v>
      </c>
      <c r="N42" s="23">
        <f t="shared" si="9"/>
        <v>0</v>
      </c>
    </row>
  </sheetData>
  <mergeCells count="8">
    <mergeCell ref="A27:O27"/>
    <mergeCell ref="A34:O34"/>
    <mergeCell ref="A38:O38"/>
    <mergeCell ref="A1:O1"/>
    <mergeCell ref="A4:O4"/>
    <mergeCell ref="A11:O11"/>
    <mergeCell ref="A15:O15"/>
    <mergeCell ref="A24:O24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"/>
  <sheetViews>
    <sheetView zoomScaleNormal="100" workbookViewId="0">
      <selection sqref="A1:O1"/>
    </sheetView>
  </sheetViews>
  <sheetFormatPr defaultColWidth="8.6640625" defaultRowHeight="14.4" x14ac:dyDescent="0.3"/>
  <cols>
    <col min="1" max="1" width="42" customWidth="1"/>
    <col min="3" max="14" width="11" customWidth="1"/>
  </cols>
  <sheetData>
    <row r="1" spans="1:15" ht="19.5" customHeight="1" x14ac:dyDescent="0.3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14" t="s">
        <v>126</v>
      </c>
    </row>
    <row r="3" spans="1:15" x14ac:dyDescent="0.3">
      <c r="C3" s="15" t="s">
        <v>45</v>
      </c>
      <c r="D3" s="15" t="s">
        <v>46</v>
      </c>
      <c r="E3" s="15" t="s">
        <v>47</v>
      </c>
      <c r="F3" s="15" t="s">
        <v>48</v>
      </c>
      <c r="G3" s="15" t="s">
        <v>49</v>
      </c>
      <c r="H3" s="15" t="s">
        <v>50</v>
      </c>
      <c r="I3" s="15" t="s">
        <v>51</v>
      </c>
      <c r="J3" s="15" t="s">
        <v>52</v>
      </c>
      <c r="K3" s="15" t="s">
        <v>53</v>
      </c>
      <c r="L3" s="15" t="s">
        <v>54</v>
      </c>
      <c r="M3" s="15" t="s">
        <v>55</v>
      </c>
      <c r="N3" s="15" t="s">
        <v>56</v>
      </c>
    </row>
    <row r="5" spans="1:15" x14ac:dyDescent="0.3">
      <c r="A5" s="4" t="s">
        <v>127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">
      <c r="A6" s="9" t="s">
        <v>128</v>
      </c>
      <c r="C6" s="21">
        <f>Balance_Sheet!C19</f>
        <v>0</v>
      </c>
      <c r="D6" s="21">
        <f>Balance_Sheet!D19</f>
        <v>0</v>
      </c>
      <c r="E6" s="21">
        <f>Balance_Sheet!E19</f>
        <v>0</v>
      </c>
      <c r="F6" s="21">
        <f>Balance_Sheet!F19</f>
        <v>0</v>
      </c>
      <c r="G6" s="21">
        <f>Balance_Sheet!G19</f>
        <v>0</v>
      </c>
      <c r="H6" s="21">
        <f>Balance_Sheet!H19</f>
        <v>0</v>
      </c>
      <c r="I6" s="21">
        <f>Balance_Sheet!I19</f>
        <v>0</v>
      </c>
      <c r="J6" s="21">
        <f>Balance_Sheet!J19</f>
        <v>0</v>
      </c>
      <c r="K6" s="21">
        <f>Balance_Sheet!K19</f>
        <v>0</v>
      </c>
      <c r="L6" s="21">
        <f>Balance_Sheet!L19</f>
        <v>0</v>
      </c>
      <c r="M6" s="21">
        <f>Balance_Sheet!M19</f>
        <v>0</v>
      </c>
      <c r="N6" s="21">
        <f>Balance_Sheet!N19</f>
        <v>0</v>
      </c>
    </row>
    <row r="7" spans="1:15" x14ac:dyDescent="0.3">
      <c r="A7" s="9" t="s">
        <v>129</v>
      </c>
      <c r="C7" s="21">
        <f>Cash_Flow!C23-(Cash_Flow!C22+Cash_Flow!C21)</f>
        <v>0</v>
      </c>
      <c r="D7" s="21">
        <f>Cash_Flow!D23-(Cash_Flow!D22+Cash_Flow!D21)</f>
        <v>0</v>
      </c>
      <c r="E7" s="21">
        <f>Cash_Flow!E23-(Cash_Flow!E22+Cash_Flow!E21)</f>
        <v>0</v>
      </c>
      <c r="F7" s="21">
        <f>Cash_Flow!F23-(Cash_Flow!F22+Cash_Flow!F21)</f>
        <v>0</v>
      </c>
      <c r="G7" s="21">
        <f>Cash_Flow!G23-(Cash_Flow!G22+Cash_Flow!G21)</f>
        <v>0</v>
      </c>
      <c r="H7" s="21">
        <f>Cash_Flow!H23-(Cash_Flow!H22+Cash_Flow!H21)</f>
        <v>0</v>
      </c>
      <c r="I7" s="21">
        <f>Cash_Flow!I23-(Cash_Flow!I22+Cash_Flow!I21)</f>
        <v>0</v>
      </c>
      <c r="J7" s="21">
        <f>Cash_Flow!J23-(Cash_Flow!J22+Cash_Flow!J21)</f>
        <v>0</v>
      </c>
      <c r="K7" s="21">
        <f>Cash_Flow!K23-(Cash_Flow!K22+Cash_Flow!K21)</f>
        <v>0</v>
      </c>
      <c r="L7" s="21">
        <f>Cash_Flow!L23-(Cash_Flow!L22+Cash_Flow!L21)</f>
        <v>0</v>
      </c>
      <c r="M7" s="21">
        <f>Cash_Flow!M23-(Cash_Flow!M22+Cash_Flow!M21)</f>
        <v>0</v>
      </c>
      <c r="N7" s="21">
        <f>Cash_Flow!N23-(Cash_Flow!N22+Cash_Flow!N21)</f>
        <v>0</v>
      </c>
    </row>
    <row r="9" spans="1:15" x14ac:dyDescent="0.3">
      <c r="A9" s="4" t="s">
        <v>130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">
      <c r="A10" s="9" t="s">
        <v>128</v>
      </c>
      <c r="C10" s="21">
        <f>Balance_Sheet!C42</f>
        <v>0</v>
      </c>
      <c r="D10" s="21">
        <f>Balance_Sheet!D42</f>
        <v>0</v>
      </c>
      <c r="E10" s="21">
        <f>Balance_Sheet!E42</f>
        <v>0</v>
      </c>
      <c r="F10" s="21">
        <f>Balance_Sheet!F42</f>
        <v>0</v>
      </c>
      <c r="G10" s="21">
        <f>Balance_Sheet!G42</f>
        <v>0</v>
      </c>
      <c r="H10" s="21">
        <f>Balance_Sheet!H42</f>
        <v>0</v>
      </c>
      <c r="I10" s="21">
        <f>Balance_Sheet!I42</f>
        <v>0</v>
      </c>
      <c r="J10" s="21">
        <f>Balance_Sheet!J42</f>
        <v>0</v>
      </c>
      <c r="K10" s="21">
        <f>Balance_Sheet!K42</f>
        <v>0</v>
      </c>
      <c r="L10" s="21">
        <f>Balance_Sheet!L42</f>
        <v>0</v>
      </c>
      <c r="M10" s="21">
        <f>Balance_Sheet!M42</f>
        <v>0</v>
      </c>
      <c r="N10" s="21">
        <f>Balance_Sheet!N42</f>
        <v>0</v>
      </c>
    </row>
    <row r="11" spans="1:15" x14ac:dyDescent="0.3">
      <c r="A11" s="9" t="s">
        <v>129</v>
      </c>
      <c r="C11" s="21">
        <f>Cash_Flow!C50-(Cash_Flow!C49+Cash_Flow!C48)</f>
        <v>0</v>
      </c>
      <c r="D11" s="21">
        <f>Cash_Flow!D50-(Cash_Flow!D49+Cash_Flow!D48)</f>
        <v>0</v>
      </c>
      <c r="E11" s="21">
        <f>Cash_Flow!E50-(Cash_Flow!E49+Cash_Flow!E48)</f>
        <v>0</v>
      </c>
      <c r="F11" s="21">
        <f>Cash_Flow!F50-(Cash_Flow!F49+Cash_Flow!F48)</f>
        <v>0</v>
      </c>
      <c r="G11" s="21">
        <f>Cash_Flow!G50-(Cash_Flow!G49+Cash_Flow!G48)</f>
        <v>0</v>
      </c>
      <c r="H11" s="21">
        <f>Cash_Flow!H50-(Cash_Flow!H49+Cash_Flow!H48)</f>
        <v>0</v>
      </c>
      <c r="I11" s="21">
        <f>Cash_Flow!I50-(Cash_Flow!I49+Cash_Flow!I48)</f>
        <v>0</v>
      </c>
      <c r="J11" s="21">
        <f>Cash_Flow!J50-(Cash_Flow!J49+Cash_Flow!J48)</f>
        <v>0</v>
      </c>
      <c r="K11" s="21">
        <f>Cash_Flow!K50-(Cash_Flow!K49+Cash_Flow!K48)</f>
        <v>0</v>
      </c>
      <c r="L11" s="21">
        <f>Cash_Flow!L50-(Cash_Flow!L49+Cash_Flow!L48)</f>
        <v>0</v>
      </c>
      <c r="M11" s="21">
        <f>Cash_Flow!M50-(Cash_Flow!M49+Cash_Flow!M48)</f>
        <v>0</v>
      </c>
      <c r="N11" s="21">
        <f>Cash_Flow!N50-(Cash_Flow!N49+Cash_Flow!N48)</f>
        <v>0</v>
      </c>
    </row>
  </sheetData>
  <mergeCells count="3">
    <mergeCell ref="A1:O1"/>
    <mergeCell ref="A5:O5"/>
    <mergeCell ref="A9:O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P&amp;L</vt:lpstr>
      <vt:lpstr>Cash_Flow</vt:lpstr>
      <vt:lpstr>Balance_Sheet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Maitrya Anupam</cp:lastModifiedBy>
  <cp:revision>0</cp:revision>
  <dcterms:created xsi:type="dcterms:W3CDTF">2026-03-29T11:48:20Z</dcterms:created>
  <dcterms:modified xsi:type="dcterms:W3CDTF">2026-03-29T23:36:18Z</dcterms:modified>
  <dc:language>en-US</dc:language>
</cp:coreProperties>
</file>